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V+Dz53eaWT1FT+/uh9Ul9DUECe77UDs+eElIhHqdIGJUBIxReaj1iPJvZuqGctOPJSBuvgim5wj/YgGzw6AXHQ==" workbookSaltValue="ggUE5scnM4N46VxaAQR/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EP20" i="19"/>
  <c r="T13" i="12"/>
  <c r="BD18" i="13"/>
  <c r="BE17" i="13"/>
  <c r="BF17" i="13"/>
  <c r="AE20" i="8"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U15" i="17" l="1"/>
  <c r="U19" i="17" s="1"/>
  <c r="X19" i="20"/>
  <c r="BH19" i="16"/>
  <c r="X17" i="16"/>
  <c r="BE19" i="13"/>
  <c r="BF19" i="13"/>
  <c r="J11" i="12"/>
  <c r="K12" i="12"/>
  <c r="S15" i="14"/>
  <c r="V15" i="14" s="1"/>
  <c r="X9" i="16"/>
  <c r="X20" i="16" s="1"/>
  <c r="S16" i="16"/>
  <c r="AP16" i="27"/>
  <c r="BU16" i="17"/>
  <c r="Q16" i="17"/>
  <c r="BV16" i="26"/>
  <c r="BH16" i="26"/>
  <c r="T16" i="26"/>
  <c r="BM16" i="11"/>
  <c r="BK16" i="11"/>
  <c r="BI16" i="11"/>
  <c r="BG16" i="11"/>
  <c r="V16" i="11"/>
  <c r="BJ16" i="11"/>
  <c r="AP16" i="20"/>
  <c r="BV16" i="16"/>
  <c r="BH16" i="16"/>
  <c r="T16" i="16"/>
  <c r="BW16" i="27"/>
  <c r="P16" i="17"/>
  <c r="S16" i="26"/>
  <c r="BL16" i="11"/>
  <c r="BH16" i="11"/>
  <c r="BF16" i="11"/>
  <c r="L16" i="2"/>
  <c r="V16" i="26"/>
  <c r="S16" i="17"/>
  <c r="X16" i="16"/>
  <c r="T16" i="11"/>
  <c r="S16" i="14"/>
  <c r="V16" i="14" s="1"/>
  <c r="U16" i="17"/>
  <c r="V16" i="16"/>
  <c r="X16" i="26"/>
  <c r="AA16" i="16"/>
  <c r="AO16" i="17"/>
  <c r="R16" i="14"/>
  <c r="AA16" i="26"/>
  <c r="X16" i="17"/>
  <c r="V16" i="20"/>
  <c r="AZ16" i="11"/>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<sst xmlns="http://schemas.openxmlformats.org/spreadsheetml/2006/main" count="2527" uniqueCount="1026">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</sst>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od2WPw8hZxOmKyHPmcsFFtFh97+Ogwmf9rlFm+NRrsyw+LeNU9N5JHPjnc6K/Uts4fc7hpl/A3dRZu9diw5Uw==" saltValue="oBJE15HsMwivV1Wk4LgVA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0</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23.543859649122808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444</v>
      </c>
      <c r="D17" s="224">
        <f>IF(ISNUMBER(IF(D_I="SI",Datos!I17,Datos!I17+Datos!AC17)),IF(D_I="SI",Datos!I17,Datos!I17+Datos!AC17)," - ")</f>
        <v>432</v>
      </c>
      <c r="E17" s="225">
        <f>IF(ISNUMBER(IF(D_I="SI",Datos!J17,Datos!J17+Datos!AD17)),IF(D_I="SI",Datos!J17,Datos!J17+Datos!AD17)," - ")</f>
        <v>243</v>
      </c>
      <c r="F17" s="225">
        <f>IF(ISNUMBER(IF(D_I="SI",Datos!K17,Datos!K17+Datos!AE17)),IF(D_I="SI",Datos!K17,Datos!K17+Datos!AE17)," - ")</f>
        <v>269</v>
      </c>
      <c r="G17" s="1029" t="str">
        <f>IF(Datos!E17&lt;&gt;"",Datos!E17,Datos!D17)</f>
        <v>04</v>
      </c>
      <c r="H17" s="226">
        <f>IF(ISNUMBER(IF(D_I="SI",Datos!L17,Datos!L17+Datos!AF17)),IF(D_I="SI",Datos!L17,Datos!L17+Datos!AF17)," - ")</f>
        <v>418</v>
      </c>
      <c r="I17" s="1039" t="str">
        <f>IF(ISNUMBER(Datos!AS17/Datos!BM17),Datos!AS17/Datos!BM17," - ")</f>
        <v xml:space="preserve"> - </v>
      </c>
      <c r="J17" s="1040">
        <f>IF(ISNUMBER(Datos!BY17/Datos!CN17),Datos!BY17/Datos!CN17," - ")</f>
        <v>0</v>
      </c>
      <c r="K17" s="229">
        <f t="shared" si="3"/>
        <v>-5.8558558558558557E-2</v>
      </c>
      <c r="L17" s="1020">
        <f>IF(ISNUMBER(NºAsuntos!I17/NºAsuntos!G17),(NºAsuntos!I17/NºAsuntos!G17)*11," - ")</f>
        <v>17.092936802973977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0</v>
      </c>
      <c r="B18" s="501" t="str">
        <f>Datos!A18</f>
        <v>Sección De Violencia sobre la Mujer del TI</v>
      </c>
      <c r="C18" s="224">
        <f t="shared" si="2"/>
        <v>0</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444</v>
      </c>
      <c r="D19" s="1044">
        <f>SUBTOTAL(9,D15:D18)</f>
        <v>432</v>
      </c>
      <c r="E19" s="1045">
        <f>SUBTOTAL(9,E15:E18)</f>
        <v>243</v>
      </c>
      <c r="F19" s="1045">
        <f>SUBTOTAL(9,F15:F18)</f>
        <v>269</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444</v>
      </c>
      <c r="D20" s="1066">
        <f>SUBTOTAL(9,D9:D19)</f>
        <v>432</v>
      </c>
      <c r="E20" s="1067">
        <f>SUBTOTAL(9,E9:E19)</f>
        <v>243</v>
      </c>
      <c r="F20" s="1067">
        <f>SUBTOTAL(9,F9:F19)</f>
        <v>269</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Yazf6vzeOJQgkgBeupoYS9M82l5QJfOVHtD9p+3YfX3F2VX5I2kv7XN4BII2hLK92edG8yfShmstrFfDxI4+w==" saltValue="BqTgeGUzaAlIFHrjMUCwR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LELCWNsnZLlO+nrtUwF+dQ1kEVIsng9wk7iXiLnCPpacz8DsRWzv1MYcBtQbdRJfHj4ZPcHHzB/XQNscb9Zug==" saltValue="+D+NkfQQ0Hx2imz4e0Kw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478</v>
      </c>
      <c r="J12" s="182">
        <v>355</v>
      </c>
      <c r="K12" s="182">
        <v>265</v>
      </c>
      <c r="L12" s="182">
        <v>570</v>
      </c>
      <c r="M12" s="182">
        <v>70</v>
      </c>
      <c r="N12" s="182">
        <v>69</v>
      </c>
      <c r="O12" s="180">
        <v>156</v>
      </c>
      <c r="P12" s="182">
        <v>110</v>
      </c>
      <c r="Q12" s="182">
        <v>143</v>
      </c>
      <c r="R12" s="182">
        <v>1645</v>
      </c>
      <c r="S12" s="182">
        <v>643</v>
      </c>
      <c r="T12" s="182">
        <v>794</v>
      </c>
      <c r="U12" s="182">
        <v>623</v>
      </c>
      <c r="V12" s="182">
        <v>814</v>
      </c>
      <c r="W12" s="182">
        <v>101</v>
      </c>
      <c r="X12" s="188">
        <v>188</v>
      </c>
      <c r="Y12" s="190">
        <v>34</v>
      </c>
      <c r="Z12" s="180">
        <v>26</v>
      </c>
      <c r="AA12" s="180">
        <v>20</v>
      </c>
      <c r="AB12" s="180">
        <v>40</v>
      </c>
      <c r="AC12" s="182">
        <v>0</v>
      </c>
      <c r="AD12" s="182">
        <v>0</v>
      </c>
      <c r="AE12" s="182">
        <v>0</v>
      </c>
      <c r="AF12" s="188">
        <v>0</v>
      </c>
      <c r="AG12" s="201">
        <v>22</v>
      </c>
      <c r="AH12" s="182">
        <v>31</v>
      </c>
      <c r="AI12" s="182">
        <v>36</v>
      </c>
      <c r="AJ12" s="202">
        <v>17</v>
      </c>
      <c r="AK12" s="181">
        <v>0</v>
      </c>
      <c r="AL12" s="182">
        <v>0</v>
      </c>
      <c r="AM12" s="182">
        <v>0</v>
      </c>
      <c r="AN12" s="188">
        <v>0</v>
      </c>
      <c r="AO12" s="258">
        <v>2</v>
      </c>
      <c r="AP12" s="154">
        <v>2</v>
      </c>
      <c r="AQ12" s="154">
        <v>2</v>
      </c>
      <c r="AR12" s="153">
        <v>2</v>
      </c>
      <c r="AS12" s="339" t="s">
        <v>766</v>
      </c>
      <c r="AT12" s="202"/>
      <c r="AU12" s="201"/>
      <c r="AV12" s="202"/>
      <c r="AW12" s="201"/>
      <c r="AX12" s="202"/>
      <c r="AY12" s="126">
        <f t="shared" si="1"/>
        <v>665</v>
      </c>
      <c r="AZ12" s="127">
        <f t="shared" si="1"/>
        <v>825</v>
      </c>
      <c r="BA12" s="127">
        <f t="shared" si="1"/>
        <v>659</v>
      </c>
      <c r="BB12" s="127">
        <f t="shared" si="1"/>
        <v>831</v>
      </c>
      <c r="BC12" s="125">
        <f>IF(ISNUMBER(X12),X12," - ")</f>
        <v>188</v>
      </c>
      <c r="BD12" s="126">
        <f t="shared" si="2"/>
        <v>0.79878787878787882</v>
      </c>
      <c r="BE12" s="127">
        <f t="shared" si="3"/>
        <v>1.2610015174506828</v>
      </c>
      <c r="BF12" s="127">
        <f t="shared" si="4"/>
        <v>0.28528072837632779</v>
      </c>
      <c r="BG12" s="195">
        <f t="shared" si="5"/>
        <v>2.261001517450683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478</v>
      </c>
      <c r="J13" s="183">
        <f t="shared" si="6"/>
        <v>355</v>
      </c>
      <c r="K13" s="183">
        <f t="shared" si="6"/>
        <v>265</v>
      </c>
      <c r="L13" s="183">
        <f t="shared" si="6"/>
        <v>570</v>
      </c>
      <c r="M13" s="183">
        <f t="shared" si="6"/>
        <v>70</v>
      </c>
      <c r="N13" s="183">
        <f t="shared" si="6"/>
        <v>69</v>
      </c>
      <c r="O13" s="183">
        <f t="shared" si="6"/>
        <v>156</v>
      </c>
      <c r="P13" s="183">
        <f t="shared" si="6"/>
        <v>110</v>
      </c>
      <c r="Q13" s="183">
        <f t="shared" si="6"/>
        <v>143</v>
      </c>
      <c r="R13" s="183">
        <f t="shared" si="6"/>
        <v>1645</v>
      </c>
      <c r="S13" s="183">
        <f t="shared" si="6"/>
        <v>643</v>
      </c>
      <c r="T13" s="183">
        <f t="shared" si="6"/>
        <v>794</v>
      </c>
      <c r="U13" s="183">
        <f t="shared" si="6"/>
        <v>623</v>
      </c>
      <c r="V13" s="183">
        <f t="shared" si="6"/>
        <v>814</v>
      </c>
      <c r="W13" s="183">
        <f t="shared" si="6"/>
        <v>101</v>
      </c>
      <c r="X13" s="183">
        <f t="shared" si="6"/>
        <v>188</v>
      </c>
      <c r="Y13" s="183">
        <f t="shared" si="6"/>
        <v>34</v>
      </c>
      <c r="Z13" s="183">
        <f t="shared" si="6"/>
        <v>26</v>
      </c>
      <c r="AA13" s="183">
        <f t="shared" si="6"/>
        <v>20</v>
      </c>
      <c r="AB13" s="183">
        <f t="shared" si="6"/>
        <v>40</v>
      </c>
      <c r="AC13" s="183">
        <f t="shared" si="6"/>
        <v>0</v>
      </c>
      <c r="AD13" s="183">
        <f t="shared" si="6"/>
        <v>0</v>
      </c>
      <c r="AE13" s="183">
        <f t="shared" si="6"/>
        <v>0</v>
      </c>
      <c r="AF13" s="183">
        <f>SUBTOTAL(9,AF9:AF12)</f>
        <v>0</v>
      </c>
      <c r="AG13" s="183">
        <f t="shared" ref="AG13:AT13" si="7">SUBTOTAL(9,AG8:AG12)</f>
        <v>22</v>
      </c>
      <c r="AH13" s="183">
        <f t="shared" si="7"/>
        <v>31</v>
      </c>
      <c r="AI13" s="183">
        <f t="shared" si="7"/>
        <v>36</v>
      </c>
      <c r="AJ13" s="183">
        <f t="shared" si="7"/>
        <v>17</v>
      </c>
      <c r="AK13" s="183">
        <f t="shared" si="7"/>
        <v>0</v>
      </c>
      <c r="AL13" s="183">
        <f t="shared" si="7"/>
        <v>0</v>
      </c>
      <c r="AM13" s="183">
        <f t="shared" si="7"/>
        <v>0</v>
      </c>
      <c r="AN13" s="183">
        <f t="shared" si="7"/>
        <v>0</v>
      </c>
      <c r="AO13" s="183">
        <f t="shared" si="7"/>
        <v>2</v>
      </c>
      <c r="AP13" s="183">
        <f t="shared" si="7"/>
        <v>2</v>
      </c>
      <c r="AQ13" s="183">
        <f t="shared" si="7"/>
        <v>2</v>
      </c>
      <c r="AR13" s="183">
        <f t="shared" si="7"/>
        <v>2</v>
      </c>
      <c r="AS13" s="183">
        <f t="shared" si="7"/>
        <v>0</v>
      </c>
      <c r="AT13" s="183">
        <f t="shared" si="7"/>
        <v>0</v>
      </c>
      <c r="AU13" s="203"/>
      <c r="AV13" s="132"/>
      <c r="AW13" s="203"/>
      <c r="AX13" s="132"/>
      <c r="AY13" s="183">
        <f>SUBTOTAL(9,AY8:AY12)</f>
        <v>665</v>
      </c>
      <c r="AZ13" s="183">
        <f>SUBTOTAL(9,AZ8:AZ12)</f>
        <v>825</v>
      </c>
      <c r="BA13" s="183">
        <f>SUBTOTAL(9,BA8:BA12)</f>
        <v>659</v>
      </c>
      <c r="BB13" s="183">
        <f>SUBTOTAL(9,BB8:BB12)</f>
        <v>831</v>
      </c>
      <c r="BC13" s="183">
        <f>SUBTOTAL(9,BC8:BC12)</f>
        <v>188</v>
      </c>
      <c r="BD13" s="204">
        <f>IF(ISNUMBER(BA13/AZ13),BA13/AZ13," - ")</f>
        <v>0.79878787878787882</v>
      </c>
      <c r="BE13" s="205">
        <f>IF(ISNUMBER(BB13/BA13),BB13/BA13, " - ")</f>
        <v>1.2610015174506828</v>
      </c>
      <c r="BF13" s="205">
        <f>IF(ISNUMBER(BC13/BA13),BC13/BA13, " - ")</f>
        <v>0.28528072837632779</v>
      </c>
      <c r="BG13" s="206">
        <f>IF(ISNUMBER((AY13+AZ13)/BA13),(AY13+AZ13)/BA13," - ")</f>
        <v>2.261001517450683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432</v>
      </c>
      <c r="J17" s="182">
        <v>243</v>
      </c>
      <c r="K17" s="182">
        <v>269</v>
      </c>
      <c r="L17" s="182">
        <v>418</v>
      </c>
      <c r="M17" s="182">
        <v>62</v>
      </c>
      <c r="N17" s="182">
        <v>109</v>
      </c>
      <c r="O17" s="180">
        <v>4</v>
      </c>
      <c r="P17" s="182">
        <v>12</v>
      </c>
      <c r="Q17" s="182">
        <v>23</v>
      </c>
      <c r="R17" s="182">
        <v>62</v>
      </c>
      <c r="S17" s="182">
        <v>383</v>
      </c>
      <c r="T17" s="182">
        <v>264</v>
      </c>
      <c r="U17" s="182">
        <v>305</v>
      </c>
      <c r="V17" s="182">
        <v>348</v>
      </c>
      <c r="W17" s="182">
        <v>52</v>
      </c>
      <c r="X17" s="188">
        <v>134</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383</v>
      </c>
      <c r="AZ17" s="127">
        <f t="shared" si="9"/>
        <v>264</v>
      </c>
      <c r="BA17" s="127">
        <f t="shared" si="9"/>
        <v>305</v>
      </c>
      <c r="BB17" s="127">
        <f t="shared" si="9"/>
        <v>348</v>
      </c>
      <c r="BC17" s="125">
        <f>IF(ISNUMBER(W17),W17," - ")</f>
        <v>52</v>
      </c>
      <c r="BD17" s="126">
        <f t="shared" ref="BD17" si="16">IF(ISNUMBER(BA17/AZ17),BA17/AZ17," - ")</f>
        <v>1.1553030303030303</v>
      </c>
      <c r="BE17" s="127">
        <f t="shared" ref="BE17" si="17">IF(ISNUMBER(BB17/BA17),BB17/BA17, " - ")</f>
        <v>1.1409836065573771</v>
      </c>
      <c r="BF17" s="127">
        <f t="shared" ref="BF17" si="18">IF(ISNUMBER(BC17/BA17),BC17/BA17, " - ")</f>
        <v>0.17049180327868851</v>
      </c>
      <c r="BG17" s="195">
        <f t="shared" si="10"/>
        <v>2.1213114754098359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0</v>
      </c>
      <c r="L18" s="182">
        <v>0</v>
      </c>
      <c r="M18" s="182">
        <v>0</v>
      </c>
      <c r="N18" s="182">
        <v>0</v>
      </c>
      <c r="O18" s="182">
        <v>0</v>
      </c>
      <c r="P18" s="182">
        <v>0</v>
      </c>
      <c r="Q18" s="182">
        <v>0</v>
      </c>
      <c r="R18" s="182">
        <v>0</v>
      </c>
      <c r="S18" s="182">
        <v>0</v>
      </c>
      <c r="T18" s="182">
        <v>0</v>
      </c>
      <c r="U18" s="182">
        <v>0</v>
      </c>
      <c r="V18" s="182">
        <v>0</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0</v>
      </c>
      <c r="AP18" s="154">
        <v>0</v>
      </c>
      <c r="AQ18" s="153">
        <v>0</v>
      </c>
      <c r="AR18" s="154">
        <v>0</v>
      </c>
      <c r="AS18" s="338" t="s">
        <v>880</v>
      </c>
      <c r="AT18" s="208"/>
      <c r="AU18" s="199"/>
      <c r="AV18" s="208"/>
      <c r="AW18" s="199"/>
      <c r="AX18" s="208"/>
      <c r="AY18" s="128">
        <f t="shared" ref="AY18:BB18" si="19">IF(ISNUMBER(S18),S18," - ")</f>
        <v>0</v>
      </c>
      <c r="AZ18" s="129">
        <f t="shared" si="19"/>
        <v>0</v>
      </c>
      <c r="BA18" s="129">
        <f t="shared" si="19"/>
        <v>0</v>
      </c>
      <c r="BB18" s="129">
        <f t="shared" si="19"/>
        <v>0</v>
      </c>
      <c r="BC18" s="125">
        <f>IF(ISNUMBER(W18),W18," - ")</f>
        <v>0</v>
      </c>
      <c r="BD18" s="126" t="str">
        <f>IF(ISNUMBER(BA18/AZ18),BA18/AZ18," - ")</f>
        <v xml:space="preserve"> - </v>
      </c>
      <c r="BE18" s="127" t="str">
        <f>IF(ISNUMBER(BB18/BA18),BB18/BA18, " - ")</f>
        <v xml:space="preserve"> - </v>
      </c>
      <c r="BF18" s="127" t="str">
        <f>IF(ISNUMBER(BC18/BA18),BC18/BA18, " - ")</f>
        <v xml:space="preserve"> - </v>
      </c>
      <c r="BG18" s="195" t="str">
        <f>IF(ISNUMBER((AY18+AZ18)/BA18),(AY18+AZ18)/BA18," - ")</f>
        <v xml:space="preserve"> - </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432</v>
      </c>
      <c r="J19" s="183">
        <f t="shared" si="20"/>
        <v>243</v>
      </c>
      <c r="K19" s="183">
        <f t="shared" si="20"/>
        <v>269</v>
      </c>
      <c r="L19" s="183">
        <f t="shared" si="20"/>
        <v>418</v>
      </c>
      <c r="M19" s="183">
        <f t="shared" si="20"/>
        <v>62</v>
      </c>
      <c r="N19" s="183">
        <f t="shared" si="20"/>
        <v>109</v>
      </c>
      <c r="O19" s="183">
        <f t="shared" si="20"/>
        <v>4</v>
      </c>
      <c r="P19" s="183">
        <f t="shared" si="20"/>
        <v>12</v>
      </c>
      <c r="Q19" s="183">
        <f t="shared" si="20"/>
        <v>23</v>
      </c>
      <c r="R19" s="183">
        <f t="shared" si="20"/>
        <v>62</v>
      </c>
      <c r="S19" s="183">
        <f t="shared" si="20"/>
        <v>383</v>
      </c>
      <c r="T19" s="183">
        <f t="shared" si="20"/>
        <v>264</v>
      </c>
      <c r="U19" s="183">
        <f t="shared" si="20"/>
        <v>305</v>
      </c>
      <c r="V19" s="183">
        <f t="shared" si="20"/>
        <v>348</v>
      </c>
      <c r="W19" s="183">
        <f t="shared" si="20"/>
        <v>52</v>
      </c>
      <c r="X19" s="183">
        <f t="shared" si="20"/>
        <v>134</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2</v>
      </c>
      <c r="AQ19" s="183">
        <f t="shared" si="20"/>
        <v>2</v>
      </c>
      <c r="AR19" s="183">
        <f t="shared" si="20"/>
        <v>2</v>
      </c>
      <c r="AS19" s="183">
        <f t="shared" si="20"/>
        <v>0</v>
      </c>
      <c r="AT19" s="183">
        <f t="shared" si="20"/>
        <v>0</v>
      </c>
      <c r="AU19" s="203"/>
      <c r="AV19" s="132"/>
      <c r="AW19" s="203"/>
      <c r="AX19" s="132"/>
      <c r="AY19" s="183">
        <f>SUBTOTAL(9,AY14:AY18)</f>
        <v>383</v>
      </c>
      <c r="AZ19" s="183">
        <f>SUBTOTAL(9,AZ14:AZ18)</f>
        <v>264</v>
      </c>
      <c r="BA19" s="183">
        <f>SUBTOTAL(9,BA14:BA18)</f>
        <v>305</v>
      </c>
      <c r="BB19" s="183">
        <f>SUBTOTAL(9,BB14:BB18)</f>
        <v>348</v>
      </c>
      <c r="BC19" s="183">
        <f>SUBTOTAL(9,BC14:BC18)</f>
        <v>52</v>
      </c>
      <c r="BD19" s="204">
        <f>IF(ISNUMBER(BA19/AZ19),BA19/AZ19," - ")</f>
        <v>1.1553030303030303</v>
      </c>
      <c r="BE19" s="205">
        <f>IF(ISNUMBER(BB19/BA19),BB19/BA19, " - ")</f>
        <v>1.1409836065573771</v>
      </c>
      <c r="BF19" s="205">
        <f>IF(ISNUMBER(BC19/BA19),BC19/BA19, " - ")</f>
        <v>0.17049180327868851</v>
      </c>
      <c r="BG19" s="206">
        <f>IF(ISNUMBER((AY19+AZ19)/BA19),(AY19+AZ19)/BA19," - ")</f>
        <v>2.1213114754098359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910</v>
      </c>
      <c r="J20" s="134">
        <f t="shared" si="23"/>
        <v>598</v>
      </c>
      <c r="K20" s="134">
        <f t="shared" si="23"/>
        <v>534</v>
      </c>
      <c r="L20" s="134">
        <f t="shared" si="23"/>
        <v>988</v>
      </c>
      <c r="M20" s="134">
        <f t="shared" si="23"/>
        <v>132</v>
      </c>
      <c r="N20" s="134">
        <f t="shared" si="23"/>
        <v>178</v>
      </c>
      <c r="O20" s="134">
        <f t="shared" si="23"/>
        <v>160</v>
      </c>
      <c r="P20" s="134">
        <f t="shared" si="23"/>
        <v>122</v>
      </c>
      <c r="Q20" s="134">
        <f t="shared" si="23"/>
        <v>166</v>
      </c>
      <c r="R20" s="134">
        <f t="shared" si="23"/>
        <v>1707</v>
      </c>
      <c r="S20" s="134">
        <f t="shared" si="23"/>
        <v>1026</v>
      </c>
      <c r="T20" s="134">
        <f t="shared" si="23"/>
        <v>1058</v>
      </c>
      <c r="U20" s="134">
        <f t="shared" si="23"/>
        <v>928</v>
      </c>
      <c r="V20" s="134">
        <f t="shared" si="23"/>
        <v>1162</v>
      </c>
      <c r="W20" s="134">
        <f t="shared" si="23"/>
        <v>153</v>
      </c>
      <c r="X20" s="134">
        <f t="shared" si="23"/>
        <v>322</v>
      </c>
      <c r="Y20" s="134">
        <f t="shared" si="23"/>
        <v>34</v>
      </c>
      <c r="Z20" s="134">
        <f t="shared" si="23"/>
        <v>26</v>
      </c>
      <c r="AA20" s="134">
        <f t="shared" si="23"/>
        <v>20</v>
      </c>
      <c r="AB20" s="134">
        <f t="shared" si="23"/>
        <v>40</v>
      </c>
      <c r="AC20" s="134">
        <f t="shared" si="23"/>
        <v>0</v>
      </c>
      <c r="AD20" s="134">
        <f t="shared" si="23"/>
        <v>1</v>
      </c>
      <c r="AE20" s="134">
        <f t="shared" si="23"/>
        <v>1</v>
      </c>
      <c r="AF20" s="134">
        <f t="shared" si="23"/>
        <v>0</v>
      </c>
      <c r="AG20" s="134">
        <f t="shared" si="23"/>
        <v>22</v>
      </c>
      <c r="AH20" s="134">
        <f t="shared" si="23"/>
        <v>31</v>
      </c>
      <c r="AI20" s="134">
        <f t="shared" si="23"/>
        <v>36</v>
      </c>
      <c r="AJ20" s="134">
        <f t="shared" si="23"/>
        <v>17</v>
      </c>
      <c r="AK20" s="134">
        <f t="shared" si="23"/>
        <v>0</v>
      </c>
      <c r="AL20" s="134">
        <f t="shared" si="23"/>
        <v>0</v>
      </c>
      <c r="AM20" s="134">
        <f t="shared" si="23"/>
        <v>0</v>
      </c>
      <c r="AN20" s="209">
        <f t="shared" si="23"/>
        <v>0</v>
      </c>
      <c r="AO20" s="210">
        <v>2</v>
      </c>
      <c r="AP20" s="210">
        <v>2</v>
      </c>
      <c r="AQ20" s="210">
        <v>2</v>
      </c>
      <c r="AR20" s="210">
        <v>2</v>
      </c>
      <c r="AS20" s="152">
        <f t="shared" si="23"/>
        <v>0</v>
      </c>
      <c r="AT20" s="152">
        <f t="shared" si="23"/>
        <v>0</v>
      </c>
      <c r="AU20" s="210"/>
      <c r="AV20" s="211"/>
      <c r="AW20" s="210"/>
      <c r="AX20" s="211"/>
      <c r="AY20" s="133">
        <f>SUBTOTAL(9,AY9:AY19)</f>
        <v>1048</v>
      </c>
      <c r="AZ20" s="134">
        <f>SUBTOTAL(9,AZ9:AZ19)</f>
        <v>1089</v>
      </c>
      <c r="BA20" s="134">
        <f>SUBTOTAL(9,BA9:BA19)</f>
        <v>964</v>
      </c>
      <c r="BB20" s="134">
        <f>SUBTOTAL(9,BB9:BB19)</f>
        <v>1179</v>
      </c>
      <c r="BC20" s="135">
        <f>SUBTOTAL(9,BC9:BC19)</f>
        <v>240</v>
      </c>
      <c r="BD20" s="212">
        <f>IF(ISNUMBER(BA20/AZ20),BA20/AZ20," - ")</f>
        <v>0.88521579430670339</v>
      </c>
      <c r="BE20" s="209">
        <f>IF(ISNUMBER(BB20/BA20),BB20/BA20, " - ")</f>
        <v>1.2230290456431536</v>
      </c>
      <c r="BF20" s="209">
        <f>IF(ISNUMBER(BC20/BA20),BC20/BA20, " - ")</f>
        <v>0.24896265560165975</v>
      </c>
      <c r="BG20" s="135">
        <f>IF(ISNUMBER((AY20+AZ20)/BA20),(AY20+AZ20)/BA20," - ")</f>
        <v>2.2168049792531122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KDg66tfM05viP/fya5QLNO0nPIsne0GZNPFAMuvVbdCNJ4TrlugkeQ1QhQ9Yy+3RODRGJtDZ/2oi+IXqXL3Cw==" saltValue="VbSBs3sA4AFo0yRLrwm6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LeTCqMokX4UjUWvsDDVZ969Jwx3vlshF9pXsvQ6uTckYG2hIiQ78gkP7XHiIZWDvKqPxGDkXCvdqZMyNEBjcw==" saltValue="bNYGJcFVCs+lX6EMbJo3h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CORIA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0</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26</v>
      </c>
      <c r="O12" s="1247"/>
      <c r="P12" s="1247"/>
      <c r="Q12" s="1215">
        <f>IF(ISNUMBER(Datos!P12),Datos!P12,0)</f>
        <v>110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v>
      </c>
      <c r="AI12" s="1247" t="str">
        <f>IF(ISNUMBER(Datos!CD12),Datos!CD12,"-")</f>
        <v>-</v>
      </c>
      <c r="AJ12" s="1247" t="str">
        <f>IF(ISNUMBER(Datos!EN12),Datos!EN12," - ")</f>
        <v xml:space="preserve"> - </v>
      </c>
      <c r="AK12" s="1247"/>
      <c r="AL12" s="1258"/>
      <c r="AM12" s="1248">
        <f>IF(ISNUMBER(Datos!R12),Datos!R12," - ")</f>
        <v>1645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70</v>
      </c>
      <c r="BD12" s="1218">
        <f>IF(ISNUMBER(Datos!N12),Datos!N12," - ")</f>
        <v>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0.74803149606299213</v>
      </c>
      <c r="BH12" s="1226">
        <f>IF(ISNUMBER(((IF(J_V="SI",Datos!L12/Datos!K12,(Datos!L12+Datos!AB12)/(Datos!K12+Datos!AA12)))*11)/factor_trimestre),((IF(J_V="SI",Datos!L12/Datos!K12,(Datos!L12+Datos!AB12)/(Datos!K12+Datos!AA12)))*11)/factor_trimestre," - ")</f>
        <v>6.4210526315789478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-1.9666269368295589E-2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26</v>
      </c>
      <c r="O13" s="1393">
        <f t="shared" si="0"/>
        <v>0</v>
      </c>
      <c r="P13" s="1393">
        <f t="shared" si="0"/>
        <v>0</v>
      </c>
      <c r="Q13" s="1392">
        <f t="shared" si="0"/>
        <v>110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143</v>
      </c>
      <c r="AD13" s="1392">
        <f t="shared" si="1"/>
        <v>0</v>
      </c>
      <c r="AE13" s="1392">
        <f t="shared" si="1"/>
        <v>0</v>
      </c>
      <c r="AF13" s="1392">
        <f t="shared" si="1"/>
        <v>0</v>
      </c>
      <c r="AG13" s="1392">
        <f t="shared" si="1"/>
        <v>0</v>
      </c>
      <c r="AH13" s="1392">
        <f t="shared" si="1"/>
        <v>40</v>
      </c>
      <c r="AI13" s="1392">
        <f t="shared" si="1"/>
        <v>0</v>
      </c>
      <c r="AJ13" s="1392">
        <f t="shared" si="1"/>
        <v>0</v>
      </c>
      <c r="AK13" s="1392">
        <f t="shared" si="1"/>
        <v>0</v>
      </c>
      <c r="AL13" s="1392">
        <f t="shared" si="1"/>
        <v>0</v>
      </c>
      <c r="AM13" s="1392">
        <f t="shared" si="1"/>
        <v>1645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70</v>
      </c>
      <c r="BD13" s="1392">
        <f t="shared" si="1"/>
        <v>69</v>
      </c>
      <c r="BE13" s="1392">
        <f t="shared" si="1"/>
        <v>0</v>
      </c>
      <c r="BF13" s="1392">
        <f t="shared" si="1"/>
        <v>0</v>
      </c>
      <c r="BG13" s="1392">
        <f>IF(ISNUMBER(Datos!K13/Datos!J13),Datos!K13/Datos!J13," - ")</f>
        <v>0.74647887323943662</v>
      </c>
      <c r="BH13" s="1396">
        <f>IF(ISNUMBER(((Datos!L13/Datos!K13)*11)/factor_trimestre),((Datos!L13/Datos!K13)*11)/factor_trimestre," - ")</f>
        <v>6.4528301886792452</v>
      </c>
      <c r="BI13" s="1392">
        <f>IF(ISNUMBER('Resol  Asuntos'!D13/NºAsuntos!G13),'Resol  Asuntos'!D13/NºAsuntos!G13," - ")</f>
        <v>0.24561403508771928</v>
      </c>
      <c r="BJ13" s="1392" t="str">
        <f>IF(ISNUMBER(Datos!CI13/Datos!CJ13),Datos!CI13/Datos!CJ13," - ")</f>
        <v xml:space="preserve"> - </v>
      </c>
      <c r="BK13" s="1392">
        <f>SUBTOTAL(9,BK8:BK12)</f>
        <v>0</v>
      </c>
      <c r="BL13" s="1392" t="str">
        <f>IF(ISNUMBER((I13-AB13+L13)/(F13)),(I13-AB13+L13)/(F13)," - ")</f>
        <v xml:space="preserve"> - </v>
      </c>
      <c r="BM13" s="1397">
        <f>SUBTOTAL(9,BM9:BM12)</f>
        <v>-1.9666269368295589E-2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444</v>
      </c>
      <c r="G17" s="1335">
        <f>IF(ISNUMBER(IF(D_I="SI",Datos!I17,Datos!I17+Datos!AC17)),IF(D_I="SI",Datos!I17,Datos!I17+Datos!AC17)," - ")</f>
        <v>432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269</v>
      </c>
      <c r="AC17" s="1215">
        <f>IF(ISNUMBER(Datos!Q17),Datos!Q17," - ")</f>
        <v>23</v>
      </c>
      <c r="AD17" s="1247"/>
      <c r="AE17" s="1262"/>
      <c r="AF17" s="1333">
        <f>IF(ISNUMBER(IF(D_I="SI",Datos!L17,Datos!L17+Datos!AF17)),IF(D_I="SI",Datos!L17,Datos!L17+Datos!AF17)," - ")</f>
        <v>418</v>
      </c>
      <c r="AG17" s="1247"/>
      <c r="AH17" s="1247"/>
      <c r="AI17" s="1247"/>
      <c r="AJ17" s="1247"/>
      <c r="AK17" s="1247"/>
      <c r="AL17" s="1258"/>
      <c r="AM17" s="1248">
        <f>IF(ISNUMBER(Datos!R17),Datos!R17," - ")</f>
        <v>62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62</v>
      </c>
      <c r="BD17" s="1218">
        <f>IF(ISNUMBER(Datos!N17),Datos!N17," - ")</f>
        <v>109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1.1069958847736625</v>
      </c>
      <c r="BH17" s="1226">
        <f>IF(ISNUMBER(((IF(D_I="SI",Datos!L17/Datos!K17,(Datos!L17+Datos!AF17)/(Datos!K17+Datos!AE17)))*11)/factor_trimestre),((IF(D_I="SI",Datos!L17/Datos!K17,(Datos!L17+Datos!AF17)/(Datos!K17+Datos!AE17)))*11)/factor_trimestre," - ")</f>
        <v>4.6617100371747213</v>
      </c>
      <c r="BI17" s="1223">
        <f>IF(ISNUMBER('Resol  Asuntos'!D17/NºAsuntos!G17),'Resol  Asuntos'!D17/NºAsuntos!G17," - ")</f>
        <v>0.23048327137546468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0</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444</v>
      </c>
      <c r="G19" s="1391">
        <f>SUBTOTAL(9,G15:G18)</f>
        <v>432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269</v>
      </c>
      <c r="AC19" s="1392">
        <f t="shared" si="4"/>
        <v>23</v>
      </c>
      <c r="AD19" s="1392">
        <f t="shared" si="4"/>
        <v>0</v>
      </c>
      <c r="AE19" s="1392">
        <f t="shared" si="4"/>
        <v>0</v>
      </c>
      <c r="AF19" s="1392">
        <f t="shared" si="4"/>
        <v>418</v>
      </c>
      <c r="AG19" s="1392">
        <f t="shared" si="4"/>
        <v>0</v>
      </c>
      <c r="AH19" s="1392">
        <f t="shared" si="4"/>
        <v>0</v>
      </c>
      <c r="AI19" s="1392">
        <f t="shared" si="4"/>
        <v>0</v>
      </c>
      <c r="AJ19" s="1392">
        <f t="shared" si="4"/>
        <v>0</v>
      </c>
      <c r="AK19" s="1392">
        <f t="shared" si="4"/>
        <v>0</v>
      </c>
      <c r="AL19" s="1392">
        <f t="shared" si="4"/>
        <v>0</v>
      </c>
      <c r="AM19" s="1392">
        <f t="shared" si="4"/>
        <v>62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62</v>
      </c>
      <c r="BD19" s="1392">
        <f t="shared" si="4"/>
        <v>109</v>
      </c>
      <c r="BE19" s="1392">
        <f t="shared" si="4"/>
        <v>0</v>
      </c>
      <c r="BF19" s="1392">
        <f t="shared" si="4"/>
        <v>0</v>
      </c>
      <c r="BG19" s="1392">
        <f>IF(ISNUMBER(Datos!K19/Datos!J19),Datos!K19/Datos!J19," - ")</f>
        <v>1.1069958847736625</v>
      </c>
      <c r="BH19" s="1396">
        <f>IF(ISNUMBER(((Datos!L19/Datos!K19)*11)/factor_trimestre),((Datos!L19/Datos!K19)*11)/factor_trimestre," - ")</f>
        <v>4.6617100371747213</v>
      </c>
      <c r="BI19" s="1392">
        <f>SUBTOTAL(9,BI15:BI18)</f>
        <v>0.23048327137546468</v>
      </c>
      <c r="BJ19" s="1392">
        <f>SUBTOTAL(9,BJ15:BJ18)</f>
        <v>0</v>
      </c>
      <c r="BK19" s="1392">
        <f>SUBTOTAL(9,BK15:BK18)</f>
        <v>0</v>
      </c>
      <c r="BL19" s="1392">
        <f>IF(ISNUMBER((I19-AB19+L19)/(F19)),(I19-AB19+L19)/(F19)," - ")</f>
        <v>-0.60585585585585588</v>
      </c>
      <c r="BM19" s="1398">
        <f>IF(ISNUMBER((Datos!P19-Datos!Q19)/(Datos!R19-Datos!P19+Datos!Q19)),(Datos!P19-Datos!Q19)/(Datos!R19-Datos!P19+Datos!Q19)," - ")</f>
        <v>-0.15068493150684931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444</v>
      </c>
      <c r="G20" s="1367">
        <f t="shared" si="6"/>
        <v>432</v>
      </c>
      <c r="H20" s="1369">
        <f t="shared" si="6"/>
        <v>0</v>
      </c>
      <c r="I20" s="1367">
        <f t="shared" si="6"/>
        <v>0</v>
      </c>
      <c r="J20" s="1369">
        <f t="shared" si="6"/>
        <v>0</v>
      </c>
      <c r="K20" s="1369">
        <f t="shared" si="6"/>
        <v>0</v>
      </c>
      <c r="L20" s="1386">
        <f t="shared" si="6"/>
        <v>0</v>
      </c>
      <c r="M20" s="1386">
        <f t="shared" si="6"/>
        <v>0</v>
      </c>
      <c r="N20" s="1386">
        <f t="shared" si="6"/>
        <v>26</v>
      </c>
      <c r="O20" s="1386">
        <f t="shared" si="6"/>
        <v>0</v>
      </c>
      <c r="P20" s="1386">
        <f t="shared" si="6"/>
        <v>0</v>
      </c>
      <c r="Q20" s="1369">
        <f t="shared" si="6"/>
        <v>122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269</v>
      </c>
      <c r="AC20" s="1368">
        <f t="shared" si="7"/>
        <v>166</v>
      </c>
      <c r="AD20" s="1368">
        <f t="shared" si="7"/>
        <v>0</v>
      </c>
      <c r="AE20" s="1368">
        <f t="shared" si="7"/>
        <v>0</v>
      </c>
      <c r="AF20" s="1371">
        <f t="shared" si="7"/>
        <v>418</v>
      </c>
      <c r="AG20" s="1371">
        <f t="shared" si="7"/>
        <v>0</v>
      </c>
      <c r="AH20" s="1371">
        <f t="shared" si="7"/>
        <v>40</v>
      </c>
      <c r="AI20" s="1371">
        <f t="shared" si="7"/>
        <v>0</v>
      </c>
      <c r="AJ20" s="1368">
        <f t="shared" si="7"/>
        <v>0</v>
      </c>
      <c r="AK20" s="1371">
        <f t="shared" si="7"/>
        <v>0</v>
      </c>
      <c r="AL20" s="1371">
        <f t="shared" si="7"/>
        <v>0</v>
      </c>
      <c r="AM20" s="1371">
        <f t="shared" si="7"/>
        <v>1707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132</v>
      </c>
      <c r="BD20" s="1367">
        <f t="shared" si="7"/>
        <v>178</v>
      </c>
      <c r="BE20" s="1367">
        <f t="shared" si="7"/>
        <v>0</v>
      </c>
      <c r="BF20" s="1373">
        <f t="shared" si="7"/>
        <v>0</v>
      </c>
      <c r="BG20" s="1404">
        <f>IF(ISNUMBER(Datos!K20/Datos!J20),Datos!K20/Datos!J20," - ")</f>
        <v>0.8929765886287625</v>
      </c>
      <c r="BH20" s="1404">
        <f>IF(ISNUMBER(((Datos!L20/Datos!K20)*11)/factor_trimestre),((Datos!L20/Datos!K20)*11)/factor_trimestre," - ")</f>
        <v>5.5505617977528097</v>
      </c>
      <c r="BI20" s="1362">
        <f>IF(ISNUMBER(Datos!J20/Datos!I20),Datos!J20/Datos!I20," - ")</f>
        <v>0.65714285714285714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-0.60585585585585588</v>
      </c>
      <c r="BM20" s="1387">
        <f>IF(ISNUMBER((Datos!P20-Datos!Q20+R20)/(Datos!R20-Datos!P20+Datos!Q20-R20)),(Datos!P20-Datos!Q20+R20)/(Datos!R20-Datos!P20+Datos!Q20-R20)," - ")</f>
        <v>-2.5128498001142203E-2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256.34351952019387</v>
      </c>
      <c r="G22" s="1299">
        <f>IF(ISNUMBER(STDEV(G8:G19)),STDEV(G8:G19),"-")</f>
        <v>236.61614484223176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147.33736796888968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34.26951998496623</v>
      </c>
      <c r="BD22" s="1298"/>
      <c r="BE22" s="1298">
        <f>IF(ISNUMBER(STDEV(BE8:BE19)),STDEV(BE8:BE19),"-")</f>
        <v>0</v>
      </c>
      <c r="BF22" s="1303">
        <f>IF(ISNUMBER(STDEV(BF8:BF19)),STDEV(BF8:BF19),"-")</f>
        <v>0</v>
      </c>
      <c r="BG22" s="1360">
        <f>IF(ISNUMBER(STDEV(BG8:BG19)),STDEV(BG8:BG19),"-")</f>
        <v>0.20769735726404476</v>
      </c>
      <c r="BH22" s="1361">
        <f>IF(ISNUMBER(STDEV(BH8:BH19)),STDEV(BH8:BH19),"-")</f>
        <v>1.0250124119718593</v>
      </c>
      <c r="BI22" s="1224">
        <f>IF(ISNUMBER(STDEV(BI8:BI19)),STDEV(BI8:BI19),"-")</f>
        <v>8.7357505023148187E-3</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5n7M/vKSfecawMJRG+FkglYXPxRFjjQmSBi1TVeAVbqXKpxn9H/lj5KrvZjgz0TrVfPl4fpxatnktnmdyhhQQ==" saltValue="7OMTYSUwcS7xI9FXyGO2p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CORIA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0</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143</v>
      </c>
      <c r="AA12" s="331" t="str">
        <f>IF(ISNUMBER(IF(J_V="SI",Datos!L12,Datos!L12+Datos!AB12)-IF(Monitorios="SI",Datos!CD12,0)),
                          IF(J_V="SI",Datos!L12,Datos!L12+Datos!AB12)-IF(Monitorios="SI",Datos!CD12,0),
                          " - ")</f>
        <v xml:space="preserve"> - </v>
      </c>
      <c r="AB12" s="333"/>
      <c r="AC12" s="333"/>
      <c r="AD12" s="483"/>
      <c r="AE12" s="483">
        <f>IF(ISNUMBER(Datos!R12),Datos!R12," - ")</f>
        <v>1645</v>
      </c>
      <c r="AF12" s="228" t="str">
        <f>IF(ISNUMBER(Datos!BV12),Datos!BV12," - ")</f>
        <v xml:space="preserve"> - </v>
      </c>
      <c r="AG12" s="224" t="str">
        <f>IF(ISNUMBER(Datos!DV12),Datos!DV12," - ")</f>
        <v xml:space="preserve"> - </v>
      </c>
      <c r="AH12" s="297"/>
      <c r="AI12" s="226"/>
      <c r="AJ12" s="224">
        <f>IF(ISNUMBER(Datos!M12),Datos!M12," - ")</f>
        <v>70</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6.4210526315789478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-1.9666269368295589E-2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110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143</v>
      </c>
      <c r="AA13" s="897">
        <f t="shared" si="2"/>
        <v>0</v>
      </c>
      <c r="AB13" s="897">
        <f t="shared" si="2"/>
        <v>0</v>
      </c>
      <c r="AC13" s="897">
        <f t="shared" si="2"/>
        <v>0</v>
      </c>
      <c r="AD13" s="897">
        <f t="shared" si="2"/>
        <v>0</v>
      </c>
      <c r="AE13" s="897">
        <f t="shared" si="2"/>
        <v>1645</v>
      </c>
      <c r="AF13" s="905">
        <f t="shared" si="2"/>
        <v>0</v>
      </c>
      <c r="AG13" s="905">
        <f t="shared" si="2"/>
        <v>0</v>
      </c>
      <c r="AH13" s="905">
        <f t="shared" si="2"/>
        <v>0</v>
      </c>
      <c r="AI13" s="905">
        <f t="shared" si="2"/>
        <v>0</v>
      </c>
      <c r="AJ13" s="905">
        <f t="shared" si="2"/>
        <v>70</v>
      </c>
      <c r="AK13" s="905">
        <f t="shared" si="2"/>
        <v>69</v>
      </c>
      <c r="AL13" s="905">
        <f t="shared" si="2"/>
        <v>0</v>
      </c>
      <c r="AM13" s="905">
        <f t="shared" si="2"/>
        <v>0</v>
      </c>
      <c r="AN13" s="905">
        <f t="shared" si="2"/>
        <v>0</v>
      </c>
      <c r="AO13" s="901">
        <f>IF(ISNUMBER(((NºAsuntos!I13/NºAsuntos!G13)*11)/factor_trimestre),((NºAsuntos!I13/NºAsuntos!G13)*11)/factor_trimestre," - ")</f>
        <v>6.4210526315789478</v>
      </c>
      <c r="AP13" s="907" t="str">
        <f>IF(ISNUMBER(Datos!CI13/Datos!CJ13),Datos!CI13/Datos!CJ13," - ")</f>
        <v xml:space="preserve"> - </v>
      </c>
      <c r="AQ13" s="923">
        <f t="shared" ref="AQ13:AV13" si="3">SUBTOTAL(9,AQ9:AQ12)</f>
        <v>0</v>
      </c>
      <c r="AR13" s="923">
        <f t="shared" si="3"/>
        <v>-1.9666269368295589E-2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444</v>
      </c>
      <c r="G17" s="224">
        <f>IF(ISNUMBER(IF(D_I="SI",Datos!I17,Datos!I17+Datos!AC17)),IF(D_I="SI",Datos!I17,Datos!I17+Datos!AC17)," - ")</f>
        <v>432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269</v>
      </c>
      <c r="Z17" s="617">
        <f>IF(ISNUMBER(Datos!Q17),Datos!Q17," - ")</f>
        <v>23</v>
      </c>
      <c r="AA17" s="331">
        <f>IF(ISNUMBER(IF(D_I="SI",Datos!L17,Datos!L17+Datos!AF17)),IF(D_I="SI",Datos!L17,Datos!L17+Datos!AF17)," - ")</f>
        <v>418</v>
      </c>
      <c r="AB17" s="333"/>
      <c r="AC17" s="333"/>
      <c r="AD17" s="483"/>
      <c r="AE17" s="483">
        <f>IF(ISNUMBER(Datos!R17),Datos!R17," - ")</f>
        <v>62</v>
      </c>
      <c r="AF17" s="228" t="str">
        <f>IF(ISNUMBER(Datos!BV17),Datos!BV17," - ")</f>
        <v xml:space="preserve"> - </v>
      </c>
      <c r="AG17" s="224"/>
      <c r="AH17" s="297"/>
      <c r="AI17" s="226"/>
      <c r="AJ17" s="224">
        <f>IF(ISNUMBER(Datos!M17),Datos!M17," - ")</f>
        <v>62</v>
      </c>
      <c r="AK17" s="228">
        <f>IF(ISNUMBER(Datos!N17),Datos!N17," - ")</f>
        <v>109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4.6617100371747213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0</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444</v>
      </c>
      <c r="G19" s="895">
        <f>SUBTOTAL(9,G15:G18)</f>
        <v>432</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269</v>
      </c>
      <c r="Z19" s="927">
        <f t="shared" si="5"/>
        <v>23</v>
      </c>
      <c r="AA19" s="927">
        <f t="shared" si="5"/>
        <v>418</v>
      </c>
      <c r="AB19" s="927">
        <f t="shared" si="5"/>
        <v>0</v>
      </c>
      <c r="AC19" s="927">
        <f t="shared" si="5"/>
        <v>0</v>
      </c>
      <c r="AD19" s="927">
        <f t="shared" si="5"/>
        <v>0</v>
      </c>
      <c r="AE19" s="927">
        <f t="shared" si="5"/>
        <v>62</v>
      </c>
      <c r="AF19" s="927">
        <f t="shared" si="5"/>
        <v>0</v>
      </c>
      <c r="AG19" s="927">
        <f t="shared" si="5"/>
        <v>0</v>
      </c>
      <c r="AH19" s="927">
        <f t="shared" si="5"/>
        <v>0</v>
      </c>
      <c r="AI19" s="927">
        <f t="shared" si="5"/>
        <v>0</v>
      </c>
      <c r="AJ19" s="927">
        <f t="shared" si="5"/>
        <v>62</v>
      </c>
      <c r="AK19" s="927">
        <f t="shared" si="5"/>
        <v>109</v>
      </c>
      <c r="AL19" s="927">
        <f t="shared" si="5"/>
        <v>0</v>
      </c>
      <c r="AM19" s="927">
        <f t="shared" si="5"/>
        <v>0</v>
      </c>
      <c r="AN19" s="927">
        <f t="shared" si="5"/>
        <v>0</v>
      </c>
      <c r="AO19" s="929">
        <f>IF(ISNUMBER(((NºAsuntos!I19/NºAsuntos!G19)*11)/factor_trimestre),((NºAsuntos!I19/NºAsuntos!G19)*11)/factor_trimestre," - ")</f>
        <v>4.6617100371747213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444</v>
      </c>
      <c r="G20" s="817">
        <f t="shared" si="7"/>
        <v>432</v>
      </c>
      <c r="H20" s="818">
        <f t="shared" si="7"/>
        <v>0</v>
      </c>
      <c r="I20" s="817">
        <f t="shared" si="7"/>
        <v>0</v>
      </c>
      <c r="J20" s="819">
        <f t="shared" si="7"/>
        <v>0</v>
      </c>
      <c r="K20" s="817">
        <f t="shared" si="7"/>
        <v>0</v>
      </c>
      <c r="L20" s="820">
        <f t="shared" si="7"/>
        <v>0</v>
      </c>
      <c r="M20" s="817">
        <f t="shared" si="7"/>
        <v>0</v>
      </c>
      <c r="N20" s="818">
        <f t="shared" si="7"/>
        <v>122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269</v>
      </c>
      <c r="Z20" s="824">
        <f t="shared" si="8"/>
        <v>166</v>
      </c>
      <c r="AA20" s="825">
        <f t="shared" si="8"/>
        <v>418</v>
      </c>
      <c r="AB20" s="825">
        <f t="shared" si="8"/>
        <v>0</v>
      </c>
      <c r="AC20" s="825">
        <f t="shared" si="8"/>
        <v>0</v>
      </c>
      <c r="AD20" s="826">
        <f t="shared" si="8"/>
        <v>0</v>
      </c>
      <c r="AE20" s="826">
        <f t="shared" si="8"/>
        <v>1707</v>
      </c>
      <c r="AF20" s="827">
        <f t="shared" si="8"/>
        <v>0</v>
      </c>
      <c r="AG20" s="828">
        <f t="shared" si="8"/>
        <v>0</v>
      </c>
      <c r="AH20" s="829">
        <f t="shared" si="8"/>
        <v>0</v>
      </c>
      <c r="AI20" s="827">
        <f t="shared" si="8"/>
        <v>0</v>
      </c>
      <c r="AJ20" s="817">
        <f t="shared" si="8"/>
        <v>132</v>
      </c>
      <c r="AK20" s="817">
        <f t="shared" si="8"/>
        <v>178</v>
      </c>
      <c r="AL20" s="817">
        <f t="shared" si="8"/>
        <v>0</v>
      </c>
      <c r="AM20" s="830">
        <f t="shared" si="8"/>
        <v>0</v>
      </c>
      <c r="AN20" s="820">
        <f>IF(ISNUMBER(Datos!K20/Datos!J20),Datos!K20/Datos!J20," - ")</f>
        <v>0.8929765886287625</v>
      </c>
      <c r="AO20" s="820">
        <f>IF(ISNUMBER(FIND("06",Criterios!A8,1)),(IF(ISNUMBER(((Datos!R20/Datos!Q20)*11)/factor_trimestre),((Datos!R20/Datos!Q20)*11)/factor_trimestre," - ")),(IF(ISNUMBER(((Datos!L20/Datos!K20)*11)/factor_trimestre),((Datos!L20/Datos!K20)*11)/factor_trimestre," - ")))</f>
        <v>5.5505617977528097</v>
      </c>
      <c r="AP20" s="831" t="str">
        <f>IF(ISNUMBER(Datos!CI20/Datos!CJ20),Datos!CI20/Datos!CJ20," - ")</f>
        <v xml:space="preserve"> - </v>
      </c>
      <c r="AQ20" s="831">
        <f>IF(OR(ISNUMBER(FIND("01",Criterios!A8,1)),ISNUMBER(FIND("02",Criterios!A8,1)),ISNUMBER(FIND("03",Criterios!A8,1)),ISNUMBER(FIND("04",Criterios!A8,1))),(J20-Y20+K20)/(F20-K20),(I20-Y20+K20)/(F20-K20))</f>
        <v>-0.60585585585585588</v>
      </c>
      <c r="AR20" s="831">
        <f>IF(ISNUMBER((Datos!P20-Datos!Q20+O20)/(Datos!R20-Datos!P20+Datos!Q20-O20)),(Datos!P20-Datos!Q20+O20)/(Datos!R20-Datos!P20+Datos!Q20-O20)," - ")</f>
        <v>-2.5128498001142203E-2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256.34351952019387</v>
      </c>
      <c r="G22" s="551">
        <f>IF(ISNUMBER(STDEV(G8:G19)),STDEV(G8:G19),"-")</f>
        <v>236.61614484223176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34.26951998496623</v>
      </c>
      <c r="AK22" s="251"/>
      <c r="AL22" s="251">
        <f>IF(ISNUMBER(STDEV(AL8:AL19)),STDEV(AL8:AL19),"-")</f>
        <v>0</v>
      </c>
      <c r="AM22" s="253">
        <f>IF(ISNUMBER(STDEV(AM8:AM19)),STDEV(AM8:AM19),"-")</f>
        <v>0</v>
      </c>
      <c r="AN22" s="538">
        <f>IF(ISNUMBER(STDEV(AN8:AN19)),STDEV(AN8:AN19),"-")</f>
        <v>0</v>
      </c>
      <c r="AO22" s="539">
        <f>IF(ISNUMBER(STDEV(AO8:AO19)),STDEV(AO8:AO19),"-")</f>
        <v>1.0157569204760519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j2sEtqIr86gKcgJRF/8dm1XUp4TJ5Rp6jkqkZ2k36Q2rZdpv3FXHs5kRxIzq8pWh3Oha12v0AoVp/R4fUP+lA==" saltValue="8GY4AyFi5aRKutzXGHyF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H6MsM6kjs9bEHgF4UVEmvBruV6nOYJhaEirx3JwZ5jWlh1NaPzMGLO56jzOgSOcKtctlwjAwvk85q34sYEpgEg==" saltValue="DNlIa3DcqdlHSF1lpd9b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VUMkR2S6399logh7GgetpwRNgxo71ek50irURbxit3gnX7Yhg5tEdmqSi3DlFJgNzcc6o9EYLMmUnAtgLr7qw==" saltValue="RojtsY/Sqn3scKGtf25L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CORIA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0.24561403508771928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0.17367534976511692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Fq2sE7AlkerHh6lgBz2YyUSCSvm3Y2IXFSNMHWC7/Kjk/cppnYE3pU2rKjzcir5NdIcurui9cA9Z3tROQ3wNA==" saltValue="8oeGn2LGBPUec/CHmHHDu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D9H16RPw9S6oPZ8m3eW1DY7gF6Y32QMNUeHjUDp9ZZlqc458TonxApcDU7Ntz8Xf8B3E1GtZoAIOkUrYCfxLA==" saltValue="kKsTZiU/kwgvvMGZNI3r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CORIA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512</v>
      </c>
      <c r="D12" s="403">
        <f>IF(ISNUMBER(C12/Datos!BH12),C12/Datos!BH12," - ")</f>
        <v>256</v>
      </c>
      <c r="E12" s="402">
        <f>IF(ISNUMBER(IF(J_V="SI",Datos!J12,Datos!J12+Datos!Z12)),IF(J_V="SI",Datos!J12,Datos!J12+Datos!Z12)," - ")</f>
        <v>381</v>
      </c>
      <c r="F12" s="403">
        <f>IF(ISNUMBER(E12/B12),E12/B12," - ")</f>
        <v>190.5</v>
      </c>
      <c r="G12" s="402">
        <f>IF(ISNUMBER(IF(J_V="SI",Datos!K12,Datos!K12+Datos!AA12)),IF(J_V="SI",Datos!K12,Datos!K12+Datos!AA12)," - ")</f>
        <v>285</v>
      </c>
      <c r="H12" s="403">
        <f>IF(ISNUMBER(G12/B12),G12/B12," - ")</f>
        <v>142.5</v>
      </c>
      <c r="I12" s="402">
        <f>IF(ISNUMBER(IF(J_V="SI",Datos!L12,Datos!L12+Datos!AB12)),IF(J_V="SI",Datos!L12,Datos!L12+Datos!AB12)," - ")</f>
        <v>610</v>
      </c>
      <c r="J12" s="403">
        <f>IF(ISNUMBER(I12/B12),I12/B12," - ")</f>
        <v>305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512</v>
      </c>
      <c r="D13" s="847" t="str">
        <f>IF(ISNUMBER(C13/Datos!BI13),C13/Datos!BI13," - ")</f>
        <v xml:space="preserve"> - </v>
      </c>
      <c r="E13" s="846">
        <f>SUBTOTAL(9,E8:E12)</f>
        <v>381</v>
      </c>
      <c r="F13" s="847">
        <f>IF(ISNUMBER(E13/B13),E13/B13," - ")</f>
        <v>190.5</v>
      </c>
      <c r="G13" s="846">
        <f>SUBTOTAL(9,G8:G12)</f>
        <v>285</v>
      </c>
      <c r="H13" s="847">
        <f>IF(ISNUMBER(G13/B13),G13/B13," - ")</f>
        <v>142.5</v>
      </c>
      <c r="I13" s="846">
        <f>SUBTOTAL(9,I8:I12)</f>
        <v>610</v>
      </c>
      <c r="J13" s="847">
        <f>IF(ISNUMBER(I13/B13),I13/B13," - ")</f>
        <v>305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432</v>
      </c>
      <c r="D17" s="403">
        <f>IF(ISNUMBER(C17/Datos!BH17),C17/Datos!BH17," - ")</f>
        <v>216</v>
      </c>
      <c r="E17" s="402">
        <f>IF(ISNUMBER(IF(D_I="SI",Datos!J17,Datos!J17+Datos!AD17)),IF(D_I="SI",Datos!J17,Datos!J17+Datos!AD17)," - ")</f>
        <v>243</v>
      </c>
      <c r="F17" s="403">
        <f>IF(ISNUMBER(E17/B17),E17/B17," - ")</f>
        <v>121.5</v>
      </c>
      <c r="G17" s="402">
        <f>IF(ISNUMBER(IF(D_I="SI",Datos!K17,Datos!K17+Datos!AE17)),IF(D_I="SI",Datos!K17,Datos!K17+Datos!AE17)," - ")</f>
        <v>269</v>
      </c>
      <c r="H17" s="403">
        <f>IF(ISNUMBER(G17/B17),G17/B17," - ")</f>
        <v>134.5</v>
      </c>
      <c r="I17" s="402">
        <f>IF(ISNUMBER(IF(D_I="SI",Datos!L17,Datos!L17+Datos!AF17)),IF(D_I="SI",Datos!L17,Datos!L17+Datos!AF17)," - ")</f>
        <v>418</v>
      </c>
      <c r="J17" s="403">
        <f>IF(ISNUMBER(I17/B17),I17/B17," - ")</f>
        <v>209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0</v>
      </c>
      <c r="C18" s="402">
        <f>IF(ISNUMBER(IF(D_I="SI",Datos!I18,Datos!I18+Datos!AC18)),IF(D_I="SI",Datos!I18,Datos!I18+Datos!AC18)," - ")</f>
        <v>0</v>
      </c>
      <c r="D18" s="403">
        <f>IF(ISNUMBER(C18/Datos!BH18),C18/Datos!BH18," - ")</f>
        <v>0</v>
      </c>
      <c r="E18" s="402">
        <f>IF(ISNUMBER(IF(D_I="SI",Datos!J18,Datos!J18+Datos!AD18)),IF(D_I="SI",Datos!J18,Datos!J18+Datos!AD18)," - ")</f>
        <v>0</v>
      </c>
      <c r="F18" s="403" t="str">
        <f>IF(ISNUMBER(E18/B18),E18/B18," - ")</f>
        <v xml:space="preserve"> - </v>
      </c>
      <c r="G18" s="402">
        <f>IF(ISNUMBER(IF(D_I="SI",Datos!K18,Datos!K18+Datos!AE18)),IF(D_I="SI",Datos!K18,Datos!K18+Datos!AE18)," - ")</f>
        <v>0</v>
      </c>
      <c r="H18" s="403" t="str">
        <f>IF(ISNUMBER(G18/B18),G18/B18," - ")</f>
        <v xml:space="preserve"> - </v>
      </c>
      <c r="I18" s="402">
        <f>IF(ISNUMBER(IF(D_I="SI",Datos!L18,Datos!L18+Datos!AF18)),IF(D_I="SI",Datos!L18,Datos!L18+Datos!AF18)," - ")</f>
        <v>0</v>
      </c>
      <c r="J18" s="403" t="str">
        <f>IF(ISNUMBER(I18/B18),I18/B18," - ")</f>
        <v xml:space="preserve"> - </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432</v>
      </c>
      <c r="D19" s="847" t="str">
        <f>IF(ISNUMBER(C19/Datos!BI19),C19/Datos!BI19," - ")</f>
        <v xml:space="preserve"> - </v>
      </c>
      <c r="E19" s="846">
        <f>SUBTOTAL(9,E14:E18)</f>
        <v>243</v>
      </c>
      <c r="F19" s="847">
        <f>IF(ISNUMBER(E19/B19),E19/B19," - ")</f>
        <v>121.5</v>
      </c>
      <c r="G19" s="846">
        <f>SUBTOTAL(9,G14:G18)</f>
        <v>269</v>
      </c>
      <c r="H19" s="847">
        <f>IF(ISNUMBER(G19/B19),G19/B19," - ")</f>
        <v>134.5</v>
      </c>
      <c r="I19" s="846">
        <f>SUBTOTAL(9,I14:I18)</f>
        <v>418</v>
      </c>
      <c r="J19" s="847">
        <f>IF(ISNUMBER(I19/B19),I19/B19," - ")</f>
        <v>209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944</v>
      </c>
      <c r="D20" s="792" t="str">
        <f>IF(ISNUMBER(C20/Datos!BI20),C20/Datos!BI20," - ")</f>
        <v xml:space="preserve"> - </v>
      </c>
      <c r="E20" s="791">
        <f>SUBTOTAL(9,E9:E19)</f>
        <v>624</v>
      </c>
      <c r="F20" s="792">
        <f>IF(ISNUMBER(E20/B20),E20/B20," - ")</f>
        <v>312</v>
      </c>
      <c r="G20" s="791">
        <f>SUBTOTAL(9,G9:G19)</f>
        <v>554</v>
      </c>
      <c r="H20" s="792">
        <f>IF(ISNUMBER(G20/B20),G20/B20," - ")</f>
        <v>277</v>
      </c>
      <c r="I20" s="791">
        <f>SUBTOTAL(9,I9:I19)</f>
        <v>1028</v>
      </c>
      <c r="J20" s="792">
        <f>IF(ISNUMBER(I20/B20),I20/B20," - ")</f>
        <v>514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UXfhDkf3iWraBNNVo/XeqyzTaF/p7WxNc6RjxsecMQQgwa0fEmF4QAYn+Pni17LB9CHruG9TqrBGz0KwKxVhQ==" saltValue="AyYNRJx9+LnxqLz4yckiD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CORIA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0</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1645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70</v>
      </c>
      <c r="AM12" s="687">
        <f>IF(ISNUMBER(Datos!N12+DatosP!N17),Datos!N12+DatosP!N17," - ")</f>
        <v>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6.4210526315789478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-1.9666269368295589E-2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110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143</v>
      </c>
      <c r="AE13" s="934">
        <f t="shared" si="1"/>
        <v>0</v>
      </c>
      <c r="AF13" s="934">
        <f t="shared" si="1"/>
        <v>0</v>
      </c>
      <c r="AG13" s="934">
        <f t="shared" si="1"/>
        <v>0</v>
      </c>
      <c r="AH13" s="934">
        <f t="shared" si="1"/>
        <v>1645</v>
      </c>
      <c r="AI13" s="934">
        <f t="shared" si="1"/>
        <v>0</v>
      </c>
      <c r="AJ13" s="934">
        <f t="shared" si="1"/>
        <v>0</v>
      </c>
      <c r="AK13" s="934">
        <f t="shared" si="1"/>
        <v>0</v>
      </c>
      <c r="AL13" s="934">
        <f t="shared" si="1"/>
        <v>70</v>
      </c>
      <c r="AM13" s="934">
        <f t="shared" si="1"/>
        <v>69</v>
      </c>
      <c r="AN13" s="934">
        <f t="shared" si="1"/>
        <v>0</v>
      </c>
      <c r="AO13" s="934">
        <f t="shared" si="1"/>
        <v>0</v>
      </c>
      <c r="AP13" s="939">
        <f>IF(ISNUMBER(((Datos!L13/Datos!K13)*11)/factor_trimestre),((Datos!L13/Datos!K13)*11)/factor_trimestre," - ")</f>
        <v>6.4528301886792452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-1.9666269368295589E-2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0</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4.6617100371747213</v>
      </c>
      <c r="AQ19" s="939">
        <f>IF(ISNUMBER(((Datos!M19/Datos!L19)*11)/factor_trimestre),((Datos!M19/Datos!L19)*11)/factor_trimestre," - ")</f>
        <v>0.44497607655502391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-0.15068493150684931</v>
      </c>
      <c r="AW19" s="941">
        <f>IF(ISNUMBER((Datos!Q19-Datos!R19)/(Datos!S19-Datos!Q19+Datos!R19)),(Datos!Q19-Datos!R19)/(Datos!S19-Datos!Q19+Datos!R19)," - ")</f>
        <v>-9.2417061611374404E-2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110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143</v>
      </c>
      <c r="AE20" s="952">
        <f t="shared" si="5"/>
        <v>0</v>
      </c>
      <c r="AF20" s="953">
        <f t="shared" si="5"/>
        <v>0</v>
      </c>
      <c r="AG20" s="953">
        <f t="shared" si="5"/>
        <v>0</v>
      </c>
      <c r="AH20" s="953">
        <f t="shared" si="5"/>
        <v>1645</v>
      </c>
      <c r="AI20" s="953">
        <f t="shared" si="5"/>
        <v>0</v>
      </c>
      <c r="AJ20" s="954">
        <f t="shared" si="5"/>
        <v>0</v>
      </c>
      <c r="AK20" s="954">
        <f t="shared" si="5"/>
        <v>0</v>
      </c>
      <c r="AL20" s="946">
        <f t="shared" si="5"/>
        <v>70</v>
      </c>
      <c r="AM20" s="946">
        <f t="shared" si="5"/>
        <v>69</v>
      </c>
      <c r="AN20" s="946">
        <f t="shared" si="5"/>
        <v>0</v>
      </c>
      <c r="AO20" s="946">
        <f t="shared" si="5"/>
        <v>0</v>
      </c>
      <c r="AP20" s="946">
        <f>IF(ISNUMBER(((Datos!L20/Datos!K20)*11)/factor_trimestre),((Datos!L20/Datos!K20)*11)/factor_trimestre," - ")</f>
        <v>5.5505617977528097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-2.5128498001142203E-2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40.414518843273804</v>
      </c>
      <c r="AM22" s="733"/>
      <c r="AN22" s="733">
        <f>IF(ISNUMBER(STDEV(AN8:AN19)),STDEV(AN8:AN19),"-")</f>
        <v>0</v>
      </c>
      <c r="AO22" s="739">
        <f>IF(ISNUMBER(STDEV(AO8:AO19)),STDEV(AO8:AO19),"-")</f>
        <v>0</v>
      </c>
      <c r="AP22" s="776">
        <f>IF(ISNUMBER(STDEV(AP8:AP19)),STDEV(AP8:AP19),"-")</f>
        <v>1.0250534599673218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VdhR4KNWIlXrPHW7Uw9gi1uJaDlNoZncKhcwJkOAhd44ruXufCfNePtuYWAjTA4b2ynf/A9Zp9HounZEVDZcw==" saltValue="3R3Xm7giAp+5FuLeTiP2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CACERES  Resumenes por Partidos Judiciales  CORIA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95.433736796888965</v>
      </c>
      <c r="CF9" s="228">
        <f ca="1">AVERAGEIFS($AB:$AB,$BW:$BW,BW9,$BX:$BX,BX9)</f>
        <v>95.433736796888965</v>
      </c>
      <c r="CG9" s="1191">
        <v>0.7</v>
      </c>
      <c r="CH9" s="1191">
        <f ca="1">AVERAGEIF($BW:$BW,$BW9,$AC:$AC)</f>
        <v>49.8</v>
      </c>
      <c r="CI9" s="228">
        <f ca="1">AVERAGEIFS($AC:$AC,$BW:$BW,$BW9,$BX:$BX,$BX9)</f>
        <v>49.8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139.33333333333334</v>
      </c>
      <c r="CR9" s="228">
        <f ca="1">AVERAGEIFS($AF:$AF,$BW:$BW,BW9,$BX:$BX,BX9)</f>
        <v>139.33333333333334</v>
      </c>
      <c r="CS9" s="1191">
        <v>1.3</v>
      </c>
      <c r="CT9" s="1191">
        <v>1.5</v>
      </c>
      <c r="CU9" s="1191">
        <f ca="1">AVERAGEIF($BW:$BW,$BW9,$AH:$AH)</f>
        <v>17.142857142857142</v>
      </c>
      <c r="CV9" s="228">
        <f ca="1">AVERAGEIFS($AH:$AH,$BW:$BW,$BW9,$BX:$BX,$BX9)</f>
        <v>17.142857142857142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512.1</v>
      </c>
      <c r="DH9" s="1218">
        <f ca="1">AVERAGEIFS($AM:$AM,$BW:$BW,$BW9,$BX:$BX,$BX9)</f>
        <v>512.1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3.1969863449258114</v>
      </c>
      <c r="ER9" s="1218">
        <f ca="1">AVERAGEIFS($BH:$BH,$BW:$BW,$BW9,$BX:$BX,$BX9)</f>
        <v>3.1969863449258114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0</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95.433736796888965</v>
      </c>
      <c r="CF10" s="228">
        <f ca="1">AVERAGEIFS($AB:$AB,$BW:$BW,BW10,$BX:$BX,BX10)</f>
        <v>95.433736796888965</v>
      </c>
      <c r="CG10" s="1191">
        <v>0.7</v>
      </c>
      <c r="CH10" s="1191">
        <f ca="1">AVERAGEIF($BW:$BW,BW10,$AC:$AC)</f>
        <v>49.8</v>
      </c>
      <c r="CI10" s="228">
        <f ca="1">AVERAGEIFS($AC:$AC,$BW:$BW,BW10,$BX:$BX,BX10)</f>
        <v>49.8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139.33333333333334</v>
      </c>
      <c r="CR10" s="228">
        <f ca="1">AVERAGEIFS($AF:$AF,$BW:$BW,BW10,$BX:$BX,BX10)</f>
        <v>139.33333333333334</v>
      </c>
      <c r="CS10" s="1191">
        <v>1.3</v>
      </c>
      <c r="CT10" s="1191">
        <v>1.5</v>
      </c>
      <c r="CU10" s="1191">
        <f ca="1">AVERAGEIF($BW:$BW,$BW10,$AH:$AH)</f>
        <v>17.142857142857142</v>
      </c>
      <c r="CV10" s="228">
        <f ca="1">AVERAGEIFS($AH:$AH,$BW:$BW,$BW10,$BX:$BX,$BX10)</f>
        <v>17.142857142857142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512.1</v>
      </c>
      <c r="DH10" s="1218">
        <f ca="1">AVERAGEIFS($AM:$AM,$BW:$BW,$BW10,$BX:$BX,$BX10)</f>
        <v>512.1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3.1969863449258114</v>
      </c>
      <c r="ER10" s="1218">
        <f ca="1">AVERAGEIFS($BH:$BH,$BW:$BW,$BW10,$BX:$BX,$BX10)</f>
        <v>3.1969863449258114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95.433736796888965</v>
      </c>
      <c r="CF11" s="228">
        <f ca="1">AVERAGEIFS($AB:$AB,$BW:$BW,BW11,$BX:$BX,BX11)</f>
        <v>95.433736796888965</v>
      </c>
      <c r="CG11" s="1191">
        <v>0.7</v>
      </c>
      <c r="CH11" s="1191">
        <f ca="1">AVERAGEIF($BW:$BW,BW11,$AC:$AC)</f>
        <v>49.8</v>
      </c>
      <c r="CI11" s="228">
        <f ca="1">AVERAGEIFS($AC:$AC,$BW:$BW,BW11,$BX:$BX,BX11)</f>
        <v>49.8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139.33333333333334</v>
      </c>
      <c r="CR11" s="228">
        <f ca="1">AVERAGEIFS($AF:$AF,$BW:$BW,BW11,$BX:$BX,BX11)</f>
        <v>139.33333333333334</v>
      </c>
      <c r="CS11" s="1191">
        <v>1.3</v>
      </c>
      <c r="CT11" s="1191">
        <v>1.5</v>
      </c>
      <c r="CU11" s="1191">
        <f ca="1">AVERAGEIF($BW:$BW,$BW11,$AH:$AH)</f>
        <v>17.142857142857142</v>
      </c>
      <c r="CV11" s="228">
        <f ca="1">AVERAGEIFS($AH:$AH,$BW:$BW,$BW11,$BX:$BX,$BX11)</f>
        <v>17.142857142857142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512.1</v>
      </c>
      <c r="DH11" s="1218">
        <f ca="1">AVERAGEIFS($AM:$AM,$BW:$BW,$BW11,$BX:$BX,$BX11)</f>
        <v>512.1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3.1969863449258114</v>
      </c>
      <c r="ER11" s="1218">
        <f ca="1">AVERAGEIFS($BH:$BH,$BW:$BW,$BW11,$BX:$BX,$BX11)</f>
        <v>3.1969863449258114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v>
      </c>
      <c r="AI12" s="224" t="str">
        <f>IF(ISNUMBER(Datos!CD12),Datos!CD12,"-")</f>
        <v>-</v>
      </c>
      <c r="AJ12" s="1214" t="str">
        <f>IF(ISNUMBER(Datos!EN12),Datos!EN12," - ")</f>
        <v xml:space="preserve"> - </v>
      </c>
      <c r="AK12" s="333"/>
      <c r="AL12" s="478"/>
      <c r="AM12" s="1214">
        <f>IF(ISNUMBER(Datos!R12),Datos!R12," - ")</f>
        <v>1645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70</v>
      </c>
      <c r="BD12" s="228">
        <f>IF(ISNUMBER(Datos!N12),Datos!N12," - ")</f>
        <v>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0.74803149606299213</v>
      </c>
      <c r="BH12" s="1214">
        <f>IF(ISNUMBER(((IF(J_V="SI",Datos!L12/Datos!K12,(Datos!L12+Datos!AB12)/(Datos!K12+Datos!AA12)))*11)/factor_trimestre),((IF(J_V="SI",Datos!L12/Datos!K12,(Datos!L12+Datos!AB12)/(Datos!K12+Datos!AA12)))*11)/factor_trimestre," - ")</f>
        <v>6.4210526315789478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-1.9666269368295589E-2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95.433736796888965</v>
      </c>
      <c r="CF12" s="228">
        <f ca="1">AVERAGEIFS($AB:$AB,$BW:$BW,BW12,$BX:$BX,BX12)</f>
        <v>95.433736796888965</v>
      </c>
      <c r="CG12" s="1191">
        <v>0.7</v>
      </c>
      <c r="CH12" s="1191">
        <f ca="1">AVERAGEIF($BW:$BW,BW12,$AC:$AC)</f>
        <v>49.8</v>
      </c>
      <c r="CI12" s="228">
        <f ca="1">AVERAGEIFS($AC:$AC,$BW:$BW,BW12,$BX:$BX,BX12)</f>
        <v>49.8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139.33333333333334</v>
      </c>
      <c r="CR12" s="228">
        <f ca="1">AVERAGEIFS($AF:$AF,$BW:$BW,BW12,$BX:$BX,BX12)</f>
        <v>139.33333333333334</v>
      </c>
      <c r="CS12" s="1191">
        <v>1.3</v>
      </c>
      <c r="CT12" s="1191">
        <v>1.5</v>
      </c>
      <c r="CU12" s="1191">
        <f ca="1">AVERAGEIF($BW:$BW,$BW12,$AH:$AH)</f>
        <v>17.142857142857142</v>
      </c>
      <c r="CV12" s="228">
        <f ca="1">AVERAGEIFS($AH:$AH,$BW:$BW,$BW12,$BX:$BX,$BX12)</f>
        <v>17.142857142857142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512.1</v>
      </c>
      <c r="DH12" s="1218">
        <f ca="1">AVERAGEIFS($AM:$AM,$BW:$BW,$BW12,$BX:$BX,$BX12)</f>
        <v>512.1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3.1969863449258114</v>
      </c>
      <c r="ER12" s="1218">
        <f ca="1">AVERAGEIFS($BH:$BH,$BW:$BW,$BW12,$BX:$BX,$BX12)</f>
        <v>3.1969863449258114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26</v>
      </c>
      <c r="O13" s="897">
        <f t="shared" si="1"/>
        <v>0</v>
      </c>
      <c r="P13" s="897">
        <f t="shared" si="1"/>
        <v>0</v>
      </c>
      <c r="Q13" s="896">
        <f t="shared" si="1"/>
        <v>110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143</v>
      </c>
      <c r="AD13" s="896">
        <f t="shared" si="2"/>
        <v>0</v>
      </c>
      <c r="AE13" s="896">
        <f t="shared" si="2"/>
        <v>0</v>
      </c>
      <c r="AF13" s="896">
        <f t="shared" si="2"/>
        <v>0</v>
      </c>
      <c r="AG13" s="896">
        <f t="shared" si="2"/>
        <v>0</v>
      </c>
      <c r="AH13" s="896">
        <f t="shared" si="2"/>
        <v>40</v>
      </c>
      <c r="AI13" s="896">
        <f t="shared" si="2"/>
        <v>0</v>
      </c>
      <c r="AJ13" s="896">
        <f t="shared" si="2"/>
        <v>0</v>
      </c>
      <c r="AK13" s="896">
        <f t="shared" si="2"/>
        <v>0</v>
      </c>
      <c r="AL13" s="896">
        <f t="shared" si="2"/>
        <v>0</v>
      </c>
      <c r="AM13" s="896">
        <f t="shared" si="2"/>
        <v>1645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70</v>
      </c>
      <c r="BD13" s="896">
        <f t="shared" si="2"/>
        <v>69</v>
      </c>
      <c r="BE13" s="896">
        <f t="shared" si="2"/>
        <v>0</v>
      </c>
      <c r="BF13" s="896">
        <f t="shared" si="2"/>
        <v>0</v>
      </c>
      <c r="BG13" s="896">
        <f>IF(ISNUMBER(Datos!K13/Datos!J13),Datos!K13/Datos!J13," - ")</f>
        <v>0.74647887323943662</v>
      </c>
      <c r="BH13" s="900">
        <f>IF(ISNUMBER(((Datos!L13/Datos!K13)*11)/factor_trimestre),((Datos!L13/Datos!K13)*11)/factor_trimestre," - ")</f>
        <v>6.4528301886792452</v>
      </c>
      <c r="BI13" s="896">
        <f>IF(ISNUMBER('Resol  Asuntos'!D13/NºAsuntos!G13),'Resol  Asuntos'!D13/NºAsuntos!G13," - ")</f>
        <v>0.24561403508771928</v>
      </c>
      <c r="BJ13" s="896" t="str">
        <f>IF(ISNUMBER(Datos!CI13/Datos!CJ13),Datos!CI13/Datos!CJ13," - ")</f>
        <v xml:space="preserve"> - </v>
      </c>
      <c r="BK13" s="896">
        <f>SUBTOTAL(9,BK8:BK12)</f>
        <v>0</v>
      </c>
      <c r="BL13" s="896" t="str">
        <f>IF(ISNUMBER((I13-AB13+L13)/(F13)),(I13-AB13+L13)/(F13)," - ")</f>
        <v xml:space="preserve"> - </v>
      </c>
      <c r="BM13" s="901">
        <f>SUBTOTAL(9,BM9:BM12)</f>
        <v>-1.9666269368295589E-2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95.433736796888965</v>
      </c>
      <c r="CF15" s="228">
        <f ca="1">AVERAGEIFS($AB:$AB,$BW:$BW,BW15,$BX:$BX,BX15)</f>
        <v>95.433736796888965</v>
      </c>
      <c r="CG15" s="1191">
        <v>0.7</v>
      </c>
      <c r="CH15" s="1191">
        <f ca="1">AVERAGEIF($BW:$BW,BW15,$AC:$AC)</f>
        <v>49.8</v>
      </c>
      <c r="CI15" s="228">
        <f ca="1">AVERAGEIFS($AC:$AC,$BW:$BW,BW15,$BX:$BX,BX15)</f>
        <v>49.8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139.33333333333334</v>
      </c>
      <c r="CR15" s="228">
        <f ca="1">AVERAGEIFS($AF:$AF,$BW:$BW,BW15,$BX:$BX,BX15)</f>
        <v>139.33333333333334</v>
      </c>
      <c r="CS15" s="1191">
        <v>1.3</v>
      </c>
      <c r="CT15" s="1191">
        <v>1.5</v>
      </c>
      <c r="CU15" s="1191">
        <f ca="1">AVERAGEIF($BW:$BW,$BW15,$AH:$AH)</f>
        <v>17.142857142857142</v>
      </c>
      <c r="CV15" s="228">
        <f ca="1">AVERAGEIFS($AH:$AH,$BW:$BW,$BW15,$BX:$BX,$BX15)</f>
        <v>17.142857142857142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512.1</v>
      </c>
      <c r="DH15" s="1218">
        <f ca="1">AVERAGEIFS($AM:$AM,$BW:$BW,$BW15,$BX:$BX,$BX15)</f>
        <v>512.1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3.1969863449258114</v>
      </c>
      <c r="ER15" s="1218">
        <f ca="1">AVERAGEIFS($BH:$BH,$BW:$BW,$BW15,$BX:$BX,$BX15)</f>
        <v>3.1969863449258114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95.433736796888965</v>
      </c>
      <c r="CF16" s="1218">
        <f ca="1">AVERAGEIFS($AB:$AB,$BW:$BW,BW16,$BX:$BX,BX16)</f>
        <v>95.433736796888965</v>
      </c>
      <c r="CG16" s="1191">
        <v>0.7</v>
      </c>
      <c r="CH16" s="1191">
        <f ca="1">AVERAGEIF($BW:$BW,BW16,$AC:$AC)</f>
        <v>49.8</v>
      </c>
      <c r="CI16" s="1218">
        <f ca="1">AVERAGEIFS($AC:$AC,$BW:$BW,BW16,$BX:$BX,BX16)</f>
        <v>49.8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139.33333333333334</v>
      </c>
      <c r="CR16" s="1218">
        <f ca="1">AVERAGEIFS($AF:$AF,$BW:$BW,BW16,$BX:$BX,BX16)</f>
        <v>139.33333333333334</v>
      </c>
      <c r="CS16" s="1191">
        <v>1.3</v>
      </c>
      <c r="CT16" s="1191">
        <v>1.5</v>
      </c>
      <c r="CU16" s="1191">
        <f ca="1">AVERAGEIF($BW:$BW,$BW16,$AH:$AH)</f>
        <v>17.142857142857142</v>
      </c>
      <c r="CV16" s="1218">
        <f ca="1">AVERAGEIFS($AH:$AH,$BW:$BW,$BW16,$BX:$BX,$BX16)</f>
        <v>17.142857142857142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512.1</v>
      </c>
      <c r="DH16" s="1218">
        <f ca="1">AVERAGEIFS($AM:$AM,$BW:$BW,$BW16,$BX:$BX,$BX16)</f>
        <v>512.1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3.1969863449258114</v>
      </c>
      <c r="ER16" s="1218">
        <f ca="1">AVERAGEIFS($BH:$BH,$BW:$BW,$BW16,$BX:$BX,$BX16)</f>
        <v>3.1969863449258114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444</v>
      </c>
      <c r="G17" s="596">
        <f>IF(ISNUMBER(IF(D_I="SI",Datos!I17,Datos!I17+Datos!AC17)),IF(D_I="SI",Datos!I17,Datos!I17+Datos!AC17)," - ")</f>
        <v>432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269</v>
      </c>
      <c r="AC17" s="224">
        <f>IF(ISNUMBER(Datos!Q17),Datos!Q17," - ")</f>
        <v>23</v>
      </c>
      <c r="AD17" s="224"/>
      <c r="AE17" s="224"/>
      <c r="AF17" s="224">
        <f>IF(ISNUMBER(IF(D_I="SI",Datos!L17,Datos!L17+Datos!AF17)),IF(D_I="SI",Datos!L17,Datos!L17+Datos!AF17)," - ")</f>
        <v>418</v>
      </c>
      <c r="AG17" s="333"/>
      <c r="AH17" s="224"/>
      <c r="AI17" s="224"/>
      <c r="AJ17" s="1214"/>
      <c r="AK17" s="333"/>
      <c r="AL17" s="478"/>
      <c r="AM17" s="1214">
        <f>IF(ISNUMBER(Datos!R17),Datos!R17," - ")</f>
        <v>62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62</v>
      </c>
      <c r="BD17" s="228">
        <f>IF(ISNUMBER(Datos!N17),Datos!N17," - ")</f>
        <v>109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1.1069958847736625</v>
      </c>
      <c r="BH17" s="1214">
        <f>IF(ISNUMBER(((IF(D_I="SI",Datos!L17/Datos!K17,(Datos!L17+Datos!AF17)/(Datos!K17+Datos!AE17)))*11)/factor_trimestre),((IF(D_I="SI",Datos!L17/Datos!K17,(Datos!L17+Datos!AF17)/(Datos!K17+Datos!AE17)))*11)/factor_trimestre," - ")</f>
        <v>4.6617100371747213</v>
      </c>
      <c r="BI17" s="242">
        <f>IF(ISNUMBER('Resol  Asuntos'!D17/NºAsuntos!G17),'Resol  Asuntos'!D17/NºAsuntos!G17," - ")</f>
        <v>0.23048327137546468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95.433736796888965</v>
      </c>
      <c r="CF17" s="228">
        <f ca="1">AVERAGEIFS($AB:$AB,$BW:$BW,BW17,$BX:$BX,BX17)</f>
        <v>95.433736796888965</v>
      </c>
      <c r="CG17" s="1191">
        <v>0.7</v>
      </c>
      <c r="CH17" s="1191">
        <f ca="1">AVERAGEIF($BW:$BW,BW17,$AC:$AC)</f>
        <v>49.8</v>
      </c>
      <c r="CI17" s="228">
        <f ca="1">AVERAGEIFS($AC:$AC,$BW:$BW,BW17,$BX:$BX,BX17)</f>
        <v>49.8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139.33333333333334</v>
      </c>
      <c r="CR17" s="228">
        <f ca="1">AVERAGEIFS($AF:$AF,$BW:$BW,BW17,$BX:$BX,BX17)</f>
        <v>139.33333333333334</v>
      </c>
      <c r="CS17" s="1191">
        <v>1.3</v>
      </c>
      <c r="CT17" s="1191">
        <v>1.5</v>
      </c>
      <c r="CU17" s="1191">
        <f ca="1">AVERAGEIF($BW:$BW,$BW17,$AH:$AH)</f>
        <v>17.142857142857142</v>
      </c>
      <c r="CV17" s="228">
        <f ca="1">AVERAGEIFS($AH:$AH,$BW:$BW,$BW17,$BX:$BX,$BX17)</f>
        <v>17.142857142857142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512.1</v>
      </c>
      <c r="DH17" s="1218">
        <f ca="1">AVERAGEIFS($AM:$AM,$BW:$BW,$BW17,$BX:$BX,$BX17)</f>
        <v>512.1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3.1969863449258114</v>
      </c>
      <c r="ER17" s="1218">
        <f ca="1">AVERAGEIFS($BH:$BH,$BW:$BW,$BW17,$BX:$BX,$BX17)</f>
        <v>3.1969863449258114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0</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95.433736796888965</v>
      </c>
      <c r="CF18" s="228">
        <f ca="1">AVERAGEIFS($AB:$AB,$BW:$BW,BW18,$BX:$BX,BX18)</f>
        <v>95.433736796888965</v>
      </c>
      <c r="CG18" s="1191">
        <v>0.7</v>
      </c>
      <c r="CH18" s="1191">
        <f ca="1">AVERAGEIF($BW:$BW,BW18,$AC:$AC)</f>
        <v>49.8</v>
      </c>
      <c r="CI18" s="228">
        <f ca="1">AVERAGEIFS($AC:$AC,$BW:$BW,BW18,$BX:$BX,BX18)</f>
        <v>49.8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139.33333333333334</v>
      </c>
      <c r="CR18" s="228">
        <f ca="1">AVERAGEIFS($AF:$AF,$BW:$BW,BW18,$BX:$BX,BX18)</f>
        <v>139.33333333333334</v>
      </c>
      <c r="CS18" s="1191">
        <v>1.3</v>
      </c>
      <c r="CT18" s="1191">
        <v>1.5</v>
      </c>
      <c r="CU18" s="1191">
        <f ca="1">AVERAGEIF($BW:$BW,$BW18,$AH:$AH)</f>
        <v>17.142857142857142</v>
      </c>
      <c r="CV18" s="228">
        <f ca="1">AVERAGEIFS($AH:$AH,$BW:$BW,$BW18,$BX:$BX,$BX18)</f>
        <v>17.142857142857142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512.1</v>
      </c>
      <c r="DH18" s="1218">
        <f ca="1">AVERAGEIFS($AM:$AM,$BW:$BW,$BW18,$BX:$BX,$BX18)</f>
        <v>512.1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3.1969863449258114</v>
      </c>
      <c r="ER18" s="1218">
        <f ca="1">AVERAGEIFS($BH:$BH,$BW:$BW,$BW18,$BX:$BX,$BX18)</f>
        <v>3.1969863449258114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444</v>
      </c>
      <c r="G19" s="895">
        <f>SUBTOTAL(9,G15:G18)</f>
        <v>432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269</v>
      </c>
      <c r="AC19" s="896">
        <f t="shared" si="5"/>
        <v>23</v>
      </c>
      <c r="AD19" s="896">
        <f t="shared" si="5"/>
        <v>0</v>
      </c>
      <c r="AE19" s="896">
        <f t="shared" si="5"/>
        <v>0</v>
      </c>
      <c r="AF19" s="896">
        <f t="shared" si="5"/>
        <v>418</v>
      </c>
      <c r="AG19" s="896">
        <f t="shared" si="5"/>
        <v>0</v>
      </c>
      <c r="AH19" s="896">
        <f t="shared" si="5"/>
        <v>0</v>
      </c>
      <c r="AI19" s="896">
        <f t="shared" si="5"/>
        <v>0</v>
      </c>
      <c r="AJ19" s="896">
        <f t="shared" si="5"/>
        <v>0</v>
      </c>
      <c r="AK19" s="896">
        <f t="shared" si="5"/>
        <v>0</v>
      </c>
      <c r="AL19" s="896">
        <f t="shared" si="5"/>
        <v>0</v>
      </c>
      <c r="AM19" s="896">
        <f t="shared" si="5"/>
        <v>62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62</v>
      </c>
      <c r="BD19" s="896">
        <f t="shared" si="5"/>
        <v>109</v>
      </c>
      <c r="BE19" s="896">
        <f t="shared" si="5"/>
        <v>0</v>
      </c>
      <c r="BF19" s="896">
        <f t="shared" si="5"/>
        <v>0</v>
      </c>
      <c r="BG19" s="896">
        <f>IF(ISNUMBER(Datos!K19/Datos!J19),Datos!K19/Datos!J19," - ")</f>
        <v>1.1069958847736625</v>
      </c>
      <c r="BH19" s="900">
        <f>IF(ISNUMBER(((Datos!L19/Datos!K19)*11)/factor_trimestre),((Datos!L19/Datos!K19)*11)/factor_trimestre," - ")</f>
        <v>4.6617100371747213</v>
      </c>
      <c r="BI19" s="896">
        <f>SUBTOTAL(9,BI15:BI18)</f>
        <v>0.23048327137546468</v>
      </c>
      <c r="BJ19" s="896">
        <f>SUBTOTAL(9,BJ15:BJ18)</f>
        <v>0</v>
      </c>
      <c r="BK19" s="896">
        <f>SUBTOTAL(9,BK15:BK18)</f>
        <v>0</v>
      </c>
      <c r="BL19" s="896">
        <f>IF(ISNUMBER((I19-AB19+L19)/(F19)),(I19-AB19+L19)/(F19)," - ")</f>
        <v>-0.60585585585585588</v>
      </c>
      <c r="BM19" s="902">
        <f>IF(ISNUMBER((Datos!P19-Datos!Q19)/(Datos!R19-Datos!P19+Datos!Q19)),(Datos!P19-Datos!Q19)/(Datos!R19-Datos!P19+Datos!Q19)," - ")</f>
        <v>-0.15068493150684931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444</v>
      </c>
      <c r="G20" s="817">
        <f t="shared" si="7"/>
        <v>432</v>
      </c>
      <c r="H20" s="819">
        <f t="shared" si="7"/>
        <v>0</v>
      </c>
      <c r="I20" s="817">
        <f t="shared" si="7"/>
        <v>0</v>
      </c>
      <c r="J20" s="819">
        <f t="shared" si="7"/>
        <v>0</v>
      </c>
      <c r="K20" s="819">
        <f t="shared" si="7"/>
        <v>0</v>
      </c>
      <c r="L20" s="878">
        <f t="shared" si="7"/>
        <v>0</v>
      </c>
      <c r="M20" s="878">
        <f t="shared" si="7"/>
        <v>0</v>
      </c>
      <c r="N20" s="878">
        <f t="shared" si="7"/>
        <v>26</v>
      </c>
      <c r="O20" s="878">
        <f t="shared" si="7"/>
        <v>0</v>
      </c>
      <c r="P20" s="878">
        <f t="shared" si="7"/>
        <v>0</v>
      </c>
      <c r="Q20" s="819">
        <f t="shared" si="7"/>
        <v>122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269</v>
      </c>
      <c r="AC20" s="818">
        <f t="shared" si="8"/>
        <v>166</v>
      </c>
      <c r="AD20" s="818">
        <f t="shared" si="8"/>
        <v>0</v>
      </c>
      <c r="AE20" s="818">
        <f t="shared" si="8"/>
        <v>0</v>
      </c>
      <c r="AF20" s="825">
        <f t="shared" si="8"/>
        <v>418</v>
      </c>
      <c r="AG20" s="825">
        <f t="shared" si="8"/>
        <v>0</v>
      </c>
      <c r="AH20" s="825">
        <f t="shared" si="8"/>
        <v>40</v>
      </c>
      <c r="AI20" s="825">
        <f t="shared" si="8"/>
        <v>0</v>
      </c>
      <c r="AJ20" s="818">
        <f t="shared" si="8"/>
        <v>0</v>
      </c>
      <c r="AK20" s="825">
        <f t="shared" si="8"/>
        <v>0</v>
      </c>
      <c r="AL20" s="825">
        <f t="shared" si="8"/>
        <v>0</v>
      </c>
      <c r="AM20" s="825">
        <f t="shared" si="8"/>
        <v>1707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132</v>
      </c>
      <c r="BD20" s="817">
        <f t="shared" si="8"/>
        <v>178</v>
      </c>
      <c r="BE20" s="817">
        <f t="shared" si="8"/>
        <v>0</v>
      </c>
      <c r="BF20" s="827">
        <f t="shared" si="8"/>
        <v>0</v>
      </c>
      <c r="BG20" s="912">
        <f>IF(ISNUMBER(Datos!K20/Datos!J20),Datos!K20/Datos!J20," - ")</f>
        <v>0.8929765886287625</v>
      </c>
      <c r="BH20" s="912">
        <f>IF(ISNUMBER(((Datos!L20/Datos!K20)*11)/factor_trimestre),((Datos!L20/Datos!K20)*11)/factor_trimestre," - ")</f>
        <v>5.5505617977528097</v>
      </c>
      <c r="BI20" s="810">
        <f>IF(ISNUMBER(Datos!J20/Datos!I20),Datos!J20/Datos!I20," - ")</f>
        <v>0.65714285714285714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-0.60585585585585588</v>
      </c>
      <c r="BM20" s="886">
        <f>IF(ISNUMBER((Datos!P20-Datos!Q20+R20)/(Datos!R20-Datos!P20+Datos!Q20-R20)),(Datos!P20-Datos!Q20+R20)/(Datos!R20-Datos!P20+Datos!Q20-R20)," - ")</f>
        <v>-2.5128498001142203E-2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256.34351952019387</v>
      </c>
      <c r="G22" s="551">
        <f>IF(ISNUMBER(STDEV(G8:G19)),STDEV(G8:G19),"-")</f>
        <v>236.61614484223176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147.33736796888968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34.26951998496623</v>
      </c>
      <c r="BD22" s="550"/>
      <c r="BE22" s="550">
        <f>IF(ISNUMBER(STDEV(BE8:BE19)),STDEV(BE8:BE19),"-")</f>
        <v>0</v>
      </c>
      <c r="BF22" s="555">
        <f>IF(ISNUMBER(STDEV(BF8:BF19)),STDEV(BF8:BF19),"-")</f>
        <v>0</v>
      </c>
      <c r="BG22" s="772">
        <f>IF(ISNUMBER(STDEV(BG8:BG19)),STDEV(BG8:BG19),"-")</f>
        <v>0.20769735726404476</v>
      </c>
      <c r="BH22" s="773">
        <f>IF(ISNUMBER(STDEV(BH8:BH19)),STDEV(BH8:BH19),"-")</f>
        <v>1.0250124119718593</v>
      </c>
      <c r="BI22" s="248">
        <f>IF(ISNUMBER(STDEV(BI8:BI19)),STDEV(BI8:BI19),"-")</f>
        <v>8.7357505023148187E-3</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swNth6Dk8f1nPsVPyu0gHeBA3atp4MWQXGM1TJcmA0ZMYA6xiyCpF2wdr43SVxiMuQeowK3hVwc4tzd0Esew==" saltValue="Oe3BEedN0YiD2SGF6u5yv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CACERES  Resumenes por Partidos Judiciales  CORIA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0.24561403508771928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0.17367534976511692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X0gCLZIWfa0MTLaEMi0cOCfsxZ0wywdrJcgLg+v41gCMicjxBv1K5a2Gqu3qKawhoczHEKC1OjoKb3QXl2bNA==" saltValue="R6oPnIza7b1M1bpKeZ9n5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CACERES</v>
      </c>
      <c r="C4" s="1461" t="str">
        <f>IF(Criterios!B11=0,"",Criterios!B11)</f>
        <v>CORIA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tGOVr/R7k0VZsR6xPnuNV3gjVGfkyyB3/x58nb/d6pnjPrGrKXYc60eMWv4BQsHod+YSn/DKJaXqRUljGz7Rw==" saltValue="3ESVbFwX2i5auESZR5sRY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CACERES</v>
      </c>
      <c r="C3" s="414"/>
      <c r="F3" s="374"/>
      <c r="G3" s="374"/>
      <c r="H3" s="374"/>
    </row>
    <row r="4" spans="1:16" ht="13.5" thickBot="1">
      <c r="A4" s="374"/>
      <c r="B4" s="390" t="str">
        <f>Criterios!A11 &amp;"  "&amp;Criterios!B11</f>
        <v>Resumenes por Partidos Judiciales  CORIA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JfPXCSoI+UU7K2zRjh39qZktAgqxa+wG1MviIkH9JBjyKZekDphKwzj/gphYdkzwYif9eLMcrH0diJHoNg9KQ==" saltValue="IlTGSh37Idq3O+onpcxJ0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CORIA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70</v>
      </c>
      <c r="E12" s="403">
        <f t="shared" si="0"/>
        <v>35</v>
      </c>
      <c r="F12" s="402">
        <f>IF(ISNUMBER(Datos!N12),Datos!N12," - ")</f>
        <v>69</v>
      </c>
      <c r="G12" s="403">
        <f t="shared" si="1"/>
        <v>34.5</v>
      </c>
      <c r="H12" s="402">
        <f>IF(ISNUMBER(Datos!O12),Datos!O12," - ")</f>
        <v>156</v>
      </c>
      <c r="I12" s="403">
        <f t="shared" si="2"/>
        <v>78</v>
      </c>
      <c r="BZ12" s="1181">
        <f>Datos!EZ12</f>
        <v>0</v>
      </c>
    </row>
    <row r="13" spans="1:78" ht="14.25" thickTop="1" thickBot="1">
      <c r="A13" s="845" t="str">
        <f>Datos!A13</f>
        <v>TOTAL</v>
      </c>
      <c r="B13" s="846">
        <f>Datos!AP13</f>
        <v>2</v>
      </c>
      <c r="C13" s="848">
        <f>Datos!AR13</f>
        <v>2</v>
      </c>
      <c r="D13" s="846">
        <f>SUBTOTAL(9,D9:D12)</f>
        <v>70</v>
      </c>
      <c r="E13" s="847">
        <f t="shared" si="0"/>
        <v>35</v>
      </c>
      <c r="F13" s="846">
        <f>SUBTOTAL(9,F9:F12)</f>
        <v>69</v>
      </c>
      <c r="G13" s="847">
        <f t="shared" si="1"/>
        <v>34.5</v>
      </c>
      <c r="H13" s="846">
        <f>SUBTOTAL(9,H9:H12)</f>
        <v>156</v>
      </c>
      <c r="I13" s="847">
        <f>IF(ISNUMBER(H13/B13),H13/B13," - ")</f>
        <v>78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62</v>
      </c>
      <c r="E17" s="403">
        <f t="shared" si="3"/>
        <v>31</v>
      </c>
      <c r="F17" s="402">
        <f>IF(ISNUMBER(Datos!N17),Datos!N17," - ")</f>
        <v>109</v>
      </c>
      <c r="G17" s="403">
        <f t="shared" si="4"/>
        <v>54.5</v>
      </c>
      <c r="H17" s="402">
        <f>IF(ISNUMBER(Datos!O17),Datos!O17," - ")</f>
        <v>4</v>
      </c>
      <c r="I17" s="403">
        <f t="shared" si="5"/>
        <v>2</v>
      </c>
      <c r="BZ17" s="1181">
        <f>Datos!EZ17</f>
        <v>0</v>
      </c>
    </row>
    <row r="18" spans="1:78" ht="13.5" thickBot="1">
      <c r="A18" s="401" t="str">
        <f>Datos!A18</f>
        <v>Sección De Violencia sobre la Mujer del TI</v>
      </c>
      <c r="B18" s="426">
        <f>Datos!AO18</f>
        <v>0</v>
      </c>
      <c r="C18" s="427">
        <f>Datos!AQ18</f>
        <v>0</v>
      </c>
      <c r="D18" s="402">
        <f>IF(ISNUMBER(Datos!M18),Datos!M18," - ")</f>
        <v>0</v>
      </c>
      <c r="E18" s="403" t="str">
        <f>IF(ISNUMBER(D18/B18),D18/B18," - ")</f>
        <v xml:space="preserve"> - </v>
      </c>
      <c r="F18" s="402">
        <f>IF(ISNUMBER(Datos!N18),Datos!N18," - ")</f>
        <v>0</v>
      </c>
      <c r="G18" s="403" t="str">
        <f>IF(ISNUMBER(F18/B18),F18/B18," - ")</f>
        <v xml:space="preserve"> - </v>
      </c>
      <c r="H18" s="402">
        <f>IF(ISNUMBER(Datos!O18),Datos!O18," - ")</f>
        <v>0</v>
      </c>
      <c r="I18" s="403" t="str">
        <f t="shared" si="5"/>
        <v xml:space="preserve"> - </v>
      </c>
      <c r="BZ18" s="1181">
        <f>Datos!EZ18</f>
        <v>0</v>
      </c>
    </row>
    <row r="19" spans="1:78" ht="14.25" thickTop="1" thickBot="1">
      <c r="A19" s="845" t="str">
        <f>Datos!A19</f>
        <v>TOTAL</v>
      </c>
      <c r="B19" s="846">
        <f>Datos!AP19</f>
        <v>2</v>
      </c>
      <c r="C19" s="848">
        <f>Datos!AR19</f>
        <v>2</v>
      </c>
      <c r="D19" s="846">
        <f>SUBTOTAL(9,D15:D18)</f>
        <v>62</v>
      </c>
      <c r="E19" s="847">
        <f t="shared" si="3"/>
        <v>31</v>
      </c>
      <c r="F19" s="846">
        <f>SUBTOTAL(9,F15:F18)</f>
        <v>109</v>
      </c>
      <c r="G19" s="847">
        <f t="shared" si="4"/>
        <v>54.5</v>
      </c>
      <c r="H19" s="846">
        <f>SUBTOTAL(9,H15:H18)</f>
        <v>4</v>
      </c>
      <c r="I19" s="847">
        <f>IF(ISNUMBER(H19/B19),H19/B19," - ")</f>
        <v>2</v>
      </c>
      <c r="BZ19" s="1181"/>
    </row>
    <row r="20" spans="1:78" ht="14.25" thickTop="1" thickBot="1">
      <c r="A20" s="790" t="str">
        <f>Datos!A20</f>
        <v>TOTAL JURISDICCIONES</v>
      </c>
      <c r="B20" s="791">
        <f>Datos!AP20</f>
        <v>2</v>
      </c>
      <c r="C20" s="791">
        <f>Datos!AR20</f>
        <v>2</v>
      </c>
      <c r="D20" s="791">
        <f>SUBTOTAL(9,D8:D19)</f>
        <v>132</v>
      </c>
      <c r="E20" s="792">
        <f>IF(ISNUMBER(D20/B20),D20/B20," - ")</f>
        <v>66</v>
      </c>
      <c r="F20" s="791">
        <f>SUBTOTAL(9,F8:F19)</f>
        <v>178</v>
      </c>
      <c r="G20" s="792">
        <f>IF(ISNUMBER(F20/B20),F20/B20," - ")</f>
        <v>89</v>
      </c>
      <c r="H20" s="791">
        <f>SUBTOTAL(9,H8:H19)</f>
        <v>160</v>
      </c>
      <c r="I20" s="792">
        <f>IF(ISNUMBER(H20/B20),H20/B20," - ")</f>
        <v>80</v>
      </c>
    </row>
    <row r="23" spans="1:78">
      <c r="A23" s="390" t="str">
        <f>Criterios!A4</f>
        <v>Fecha Informe: 18 jun. 2026</v>
      </c>
    </row>
    <row r="28" spans="1:78">
      <c r="A28" s="413"/>
    </row>
  </sheetData>
  <sheetProtection algorithmName="SHA-512" hashValue="iqzhlMlk0r5xoI/eMQl4BzKbU1QSUgPoW6V1dcvyptPGv5rZZX32j380A8lGgWJHVc/ez/q1z5QnRmIZ8suFXQ==" saltValue="pof/3b92ojUylukT5FlK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CORIA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110</v>
      </c>
      <c r="C12" s="433">
        <f>IF(ISNUMBER(Datos!Q12),Datos!Q12," - ")</f>
        <v>143</v>
      </c>
      <c r="D12" s="407">
        <f>IF(ISNUMBER(Datos!R12),Datos!R12," - ")</f>
        <v>1645</v>
      </c>
    </row>
    <row r="13" spans="1:4" ht="14.25" thickTop="1" thickBot="1">
      <c r="A13" s="845" t="str">
        <f>Datos!A13</f>
        <v>TOTAL</v>
      </c>
      <c r="B13" s="846">
        <f>SUBTOTAL(9,B9:B12)</f>
        <v>110</v>
      </c>
      <c r="C13" s="850">
        <f>SUBTOTAL(9,C9:C12)</f>
        <v>143</v>
      </c>
      <c r="D13" s="848">
        <f>SUBTOTAL(9,D9:D12)</f>
        <v>1645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23</v>
      </c>
      <c r="D17" s="407">
        <f>IF(ISNUMBER(Datos!R17),Datos!R17," - ")</f>
        <v>62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12</v>
      </c>
      <c r="C19" s="850">
        <f>SUBTOTAL(9,C15:C18)</f>
        <v>23</v>
      </c>
      <c r="D19" s="848">
        <f>SUBTOTAL(9,D15:D18)</f>
        <v>62</v>
      </c>
    </row>
    <row r="20" spans="1:4" ht="16.5" customHeight="1" thickTop="1" thickBot="1">
      <c r="A20" s="790" t="str">
        <f>Datos!A20</f>
        <v>TOTAL JURISDICCIONES</v>
      </c>
      <c r="B20" s="795">
        <f>SUBTOTAL(9,B8:B19)</f>
        <v>122</v>
      </c>
      <c r="C20" s="796">
        <f>SUBTOTAL(9,C8:C19)</f>
        <v>166</v>
      </c>
      <c r="D20" s="797">
        <f>SUBTOTAL(9,D8:D19)</f>
        <v>1707</v>
      </c>
    </row>
    <row r="21" spans="1:4" ht="7.5" customHeight="1"/>
    <row r="22" spans="1:4" ht="6" customHeight="1"/>
    <row r="23" spans="1:4">
      <c r="A23" s="390" t="str">
        <f>Criterios!A4</f>
        <v>Fecha Informe: 18 jun. 2026</v>
      </c>
    </row>
    <row r="28" spans="1:4">
      <c r="A28" s="413"/>
    </row>
  </sheetData>
  <sheetProtection algorithmName="SHA-512" hashValue="IUCvl6aRmzQkJC5MrmmTF9s3/ewdYoBEsocmnOwiQF4NGe2z6q5vXwtV8cEGqKED5JomRTjfBQDkSxm5Lkqp3w==" saltValue="hSpiA1f8MMFQV9ponLL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CORIA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-0.23007518796992482</v>
      </c>
      <c r="C12" s="455">
        <f>IF(ISNUMBER(
   IF(J_V="SI",(Datos!J12-Datos!T12)/Datos!T12,(Datos!J12+Datos!Z12-(Datos!T12+Datos!AH12))/(Datos!T12+Datos!AH12))
     ),IF(J_V="SI",(Datos!J12-Datos!T12)/Datos!T12,(Datos!J12+Datos!Z12-(Datos!T12+Datos!AH12))/(Datos!T12+Datos!AH12))," - ")</f>
        <v>-0.53818181818181821</v>
      </c>
      <c r="D12" s="455">
        <f>IF(ISNUMBER(
   IF(J_V="SI",(Datos!K12-Datos!U12)/Datos!U12,(Datos!K12+Datos!AA12-(Datos!U12+Datos!AI12))/(Datos!U12+Datos!AI12))
     ),IF(J_V="SI",(Datos!K12-Datos!U12)/Datos!U12,(Datos!K12+Datos!AA12-(Datos!U12+Datos!AI12))/(Datos!U12+Datos!AI12))," - ")</f>
        <v>-0.56752655538694996</v>
      </c>
      <c r="E12" s="455">
        <f>IF(ISNUMBER(
   IF(J_V="SI",(Datos!L12-Datos!V12)/Datos!V12,(Datos!L12+Datos!AB12-(Datos!V12+Datos!AJ12))/(Datos!V12+Datos!AJ12))
     ),IF(J_V="SI",(Datos!L12-Datos!V12)/Datos!V12,(Datos!L12+Datos!AB12-(Datos!V12+Datos!AJ12))/(Datos!V12+Datos!AJ12))," - ")</f>
        <v>-0.26594464500601683</v>
      </c>
      <c r="F12" s="455">
        <f>IF(ISNUMBER((Datos!M12-Datos!W12)/Datos!W12),(Datos!M12-Datos!W12)/Datos!W12," - ")</f>
        <v>-0.30693069306930693</v>
      </c>
      <c r="G12" s="456">
        <f>IF(ISNUMBER((Datos!N12-Datos!X12)/Datos!X12),(Datos!N12-Datos!X12)/Datos!X12," - ")</f>
        <v>-0.63297872340425532</v>
      </c>
      <c r="H12" s="454">
        <f>IF(ISNUMBER(((NºAsuntos!G12/NºAsuntos!E12)-Datos!BD12)/Datos!BD12),((NºAsuntos!G12/NºAsuntos!E12)-Datos!BD12)/Datos!BD12," - ")</f>
        <v>-6.3541753790639643E-2</v>
      </c>
      <c r="I12" s="455">
        <f>IF(ISNUMBER(((NºAsuntos!I12/NºAsuntos!G12)-Datos!BE12)/Datos!BE12),((NºAsuntos!I12/NºAsuntos!G12)-Datos!BE12)/Datos!BE12," - ")</f>
        <v>0.69734203137205231</v>
      </c>
      <c r="J12" s="460">
        <f>IF(ISNUMBER((('Resol  Asuntos'!D12/NºAsuntos!G12)-Datos!BF12)/Datos!BF12),(('Resol  Asuntos'!D12/NºAsuntos!G12)-Datos!BF12)/Datos!BF12," - ")</f>
        <v>-0.13904441955953722</v>
      </c>
      <c r="K12" s="461">
        <f>IF(ISNUMBER((((NºAsuntos!C12+NºAsuntos!E12)/NºAsuntos!G12)-Datos!BG12)/Datos!BG12),(((NºAsuntos!C12+NºAsuntos!E12)/NºAsuntos!G12)-Datos!BG12)/Datos!BG12," - ")</f>
        <v>0.38581655480984328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-0.23007518796992482</v>
      </c>
      <c r="C13" s="852">
        <f>IF(ISNUMBER(
   IF(J_V="SI",(Datos!J13-Datos!T13)/Datos!T13,(Datos!J13+Datos!Z13-(Datos!T13+Datos!AH13))/(Datos!T13+Datos!AH13))
     ),IF(J_V="SI",(Datos!J13-Datos!T13)/Datos!T13,(Datos!J13+Datos!Z13-(Datos!T13+Datos!AH13))/(Datos!T13+Datos!AH13))," - ")</f>
        <v>-0.53818181818181821</v>
      </c>
      <c r="D13" s="852">
        <f>IF(ISNUMBER(
   IF(J_V="SI",(Datos!K13-Datos!U13)/Datos!U13,(Datos!K13+Datos!AA13-(Datos!U13+Datos!AI13))/(Datos!U13+Datos!AI13))
     ),IF(J_V="SI",(Datos!K13-Datos!U13)/Datos!U13,(Datos!K13+Datos!AA13-(Datos!U13+Datos!AI13))/(Datos!U13+Datos!AI13))," - ")</f>
        <v>-0.56752655538694996</v>
      </c>
      <c r="E13" s="852">
        <f>IF(ISNUMBER(
   IF(J_V="SI",(Datos!L13-Datos!V13)/Datos!V13,(Datos!L13+Datos!AB13-(Datos!V13+Datos!AJ13))/(Datos!V13+Datos!AJ13))
     ),IF(J_V="SI",(Datos!L13-Datos!V13)/Datos!V13,(Datos!L13+Datos!AB13-(Datos!V13+Datos!AJ13))/(Datos!V13+Datos!AJ13))," - ")</f>
        <v>-0.26594464500601683</v>
      </c>
      <c r="F13" s="853">
        <f>IF(ISNUMBER((Datos!M13-Datos!W13)/Datos!W13),(Datos!M13-Datos!W13)/Datos!W13," - ")</f>
        <v>-0.30693069306930693</v>
      </c>
      <c r="G13" s="854">
        <f>IF(ISNUMBER((Datos!N13-Datos!X13)/Datos!X13),(Datos!N13-Datos!X13)/Datos!X13," - ")</f>
        <v>-0.63297872340425532</v>
      </c>
      <c r="H13" s="854">
        <f>IF(ISNUMBER(((NºAsuntos!G13/NºAsuntos!E13)-Datos!BD13)/Datos!BD13),((NºAsuntos!G13/NºAsuntos!E13)-Datos!BD13)/Datos!BD13," - ")</f>
        <v>-6.3541753790639643E-2</v>
      </c>
      <c r="I13" s="854">
        <f>IF(ISNUMBER(((NºAsuntos!I13/NºAsuntos!G13)-Datos!BE13)/Datos!BE13),((NºAsuntos!I13/NºAsuntos!G13)-Datos!BE13)/Datos!BE13," - ")</f>
        <v>0.69734203137205231</v>
      </c>
      <c r="J13" s="854">
        <f>IF(ISNUMBER((('Resol  Asuntos'!D13/NºAsuntos!G13)-Datos!BF13)/Datos!BF13),(('Resol  Asuntos'!D13/NºAsuntos!G13)-Datos!BF13)/Datos!BF13," - ")</f>
        <v>-0.13904441955953722</v>
      </c>
      <c r="K13" s="854">
        <f>IF(ISNUMBER((((NºAsuntos!C13+NºAsuntos!E13)/NºAsuntos!G13)-Datos!BG13)/Datos!BG13),(((NºAsuntos!C13+NºAsuntos!E13)/NºAsuntos!G13)-Datos!BG13)/Datos!BG13," - ")</f>
        <v>0.38581655480984328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0.12793733681462141</v>
      </c>
      <c r="C17" s="455">
        <f>IF(ISNUMBER(
   IF(D_I="SI",(Datos!J17-Datos!T17)/Datos!T17,(Datos!J17+Datos!AD17-(Datos!T17+Datos!AL17))/(Datos!T17+Datos!AL17))
     ),IF(D_I="SI",(Datos!J17-Datos!T17)/Datos!T17,(Datos!J17+Datos!AD17-(Datos!T17+Datos!AL17))/(Datos!T17+Datos!AL17))," - ")</f>
        <v>-7.9545454545454544E-2</v>
      </c>
      <c r="D17" s="455">
        <f>IF(ISNUMBER(
   IF(D_I="SI",(Datos!K17-Datos!U17)/Datos!U17,(Datos!K17+Datos!AE17-(Datos!U17+Datos!AM17))/(Datos!U17+Datos!AM17))
     ),IF(D_I="SI",(Datos!K17-Datos!U17)/Datos!U17,(Datos!K17+Datos!AE17-(Datos!U17+Datos!AM17))/(Datos!U17+Datos!AM17))," - ")</f>
        <v>-0.11803278688524591</v>
      </c>
      <c r="E17" s="455">
        <f>IF(ISNUMBER(
   IF(D_I="SI",(Datos!L17-Datos!V17)/Datos!V17,(Datos!L17+Datos!AF17-(Datos!V17+Datos!AN17))/(Datos!V17+Datos!AN17))
     ),IF(D_I="SI",(Datos!L17-Datos!V17)/Datos!V17,(Datos!L17+Datos!AF17-(Datos!V17+Datos!AN17))/(Datos!V17+Datos!AN17))," - ")</f>
        <v>0.20114942528735633</v>
      </c>
      <c r="F17" s="455">
        <f>IF(ISNUMBER((Datos!M17-Datos!W17)/Datos!W17),(Datos!M17-Datos!W17)/Datos!W17," - ")</f>
        <v>0.19230769230769232</v>
      </c>
      <c r="G17" s="456">
        <f>IF(ISNUMBER((Datos!N17-Datos!X17)/Datos!X17),(Datos!N17-Datos!X17)/Datos!X17," - ")</f>
        <v>-0.18656716417910449</v>
      </c>
      <c r="H17" s="454">
        <f>IF(ISNUMBER(((NºAsuntos!G17/NºAsuntos!E17)-Datos!BD17)/Datos!BD17),((NºAsuntos!G17/NºAsuntos!E17)-Datos!BD17)/Datos!BD17," - ")</f>
        <v>-4.1813398097551115E-2</v>
      </c>
      <c r="I17" s="455">
        <f>IF(ISNUMBER(((NºAsuntos!I17/NºAsuntos!G17)-Datos!BE17)/Datos!BE17),((NºAsuntos!I17/NºAsuntos!G17)-Datos!BE17)/Datos!BE17," - ")</f>
        <v>0.36189804725889829</v>
      </c>
      <c r="J17" s="460">
        <f>IF(ISNUMBER((('Resol  Asuntos'!D17/NºAsuntos!G17)-Datos!BF17)/Datos!BF17),(('Resol  Asuntos'!D17/NºAsuntos!G17)-Datos!BF17)/Datos!BF17," - ")</f>
        <v>0.35187303402916792</v>
      </c>
      <c r="K17" s="461">
        <f>IF(ISNUMBER((((NºAsuntos!C17+NºAsuntos!E17)/NºAsuntos!G17)-Datos!BG17)/Datos!BG17),(((NºAsuntos!C17+NºAsuntos!E17)/NºAsuntos!G17)-Datos!BG17)/Datos!BG17," - ")</f>
        <v>0.18289732997017996</v>
      </c>
    </row>
    <row r="18" spans="1:12" ht="21.75" thickBot="1">
      <c r="A18" s="401" t="str">
        <f>Datos!A18</f>
        <v>Sección De Violencia sobre la Mujer del TI</v>
      </c>
      <c r="B18" s="454" t="str">
        <f>IF(ISNUMBER(
   IF(D_I="SI",(Datos!I18-Datos!S18)/Datos!S18,(Datos!I18+Datos!AC18-(Datos!S18+Datos!AK18))/(Datos!S18+Datos!AK18))
     ),IF(D_I="SI",(Datos!I18-Datos!S18)/Datos!S18,(Datos!I18+Datos!AC18-(Datos!S18+Datos!AK18))/(Datos!S18+Datos!AK18))," - ")</f>
        <v xml:space="preserve"> - </v>
      </c>
      <c r="C18" s="455" t="str">
        <f>IF(ISNUMBER(
   IF(D_I="SI",(Datos!J18-Datos!T18)/Datos!T18,(Datos!J18+Datos!AD18-(Datos!T18+Datos!AL18))/(Datos!T18+Datos!AL18))
     ),IF(D_I="SI",(Datos!J18-Datos!T18)/Datos!T18,(Datos!J18+Datos!AD18-(Datos!T18+Datos!AL18))/(Datos!T18+Datos!AL18))," - ")</f>
        <v xml:space="preserve"> - </v>
      </c>
      <c r="D18" s="455" t="str">
        <f>IF(ISNUMBER(
   IF(D_I="SI",(Datos!K18-Datos!U18)/Datos!U18,(Datos!K18+Datos!AE18-(Datos!U18+Datos!AM18))/(Datos!U18+Datos!AM18))
     ),IF(D_I="SI",(Datos!K18-Datos!U18)/Datos!U18,(Datos!K18+Datos!AE18-(Datos!U18+Datos!AM18))/(Datos!U18+Datos!AM18))," - ")</f>
        <v xml:space="preserve"> - </v>
      </c>
      <c r="E18" s="455" t="str">
        <f>IF(ISNUMBER(
   IF(D_I="SI",(Datos!L18-Datos!V18)/Datos!V18,(Datos!L18+Datos!AF18-(Datos!V18+Datos!AN18))/(Datos!V18+Datos!AN18))
     ),IF(D_I="SI",(Datos!L18-Datos!V18)/Datos!V18,(Datos!L18+Datos!AF18-(Datos!V18+Datos!AN18))/(Datos!V18+Datos!AN18))," - ")</f>
        <v xml:space="preserve"> - </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0.12793733681462141</v>
      </c>
      <c r="C19" s="852">
        <f>IF(ISNUMBER(
   IF(Criterios!B14="SI",(Datos!J19-Datos!T19)/Datos!T19,(Datos!J19+Datos!AD19-(Datos!T19+Datos!AL19))/(Datos!T19+Datos!AL19))
     ),IF(Criterios!B14="SI",(Datos!J19-Datos!T19)/Datos!T19,(Datos!J19+Datos!AD19-(Datos!T19+Datos!AL19))/(Datos!T19+Datos!AL19))," - ")</f>
        <v>-7.9545454545454544E-2</v>
      </c>
      <c r="D19" s="852">
        <f>IF(ISNUMBER(
   IF(Criterios!B14="SI",(Datos!K19-Datos!U19)/Datos!U19,(Datos!K19+Datos!AE19-(Datos!U19+Datos!AM19))/(Datos!U19+Datos!AM19))
     ),IF(Criterios!B14="SI",(Datos!K19-Datos!U19)/Datos!U19,(Datos!K19+Datos!AE19-(Datos!U19+Datos!AM19))/(Datos!U19+Datos!AM19))," - ")</f>
        <v>-0.11803278688524591</v>
      </c>
      <c r="E19" s="852">
        <f>IF(ISNUMBER(
   IF(Criterios!B14="SI",(Datos!L19-Datos!V19)/Datos!V19,(Datos!L19+Datos!AF19-(Datos!V19+Datos!AN19))/(Datos!V19+Datos!AN19))
     ),IF(Criterios!B14="SI",(Datos!L19-Datos!V19)/Datos!V19,(Datos!L19+Datos!AF19-(Datos!V19+Datos!AN19))/(Datos!V19+Datos!AN19))," - ")</f>
        <v>0.20114942528735633</v>
      </c>
      <c r="F19" s="853">
        <f>IF(ISNUMBER((Datos!M19-Datos!W19)/Datos!W19),(Datos!M19-Datos!W19)/Datos!W19," - ")</f>
        <v>0.19230769230769232</v>
      </c>
      <c r="G19" s="854">
        <f>IF(ISNUMBER((Datos!N19-Datos!X19)/Datos!X19),(Datos!N19-Datos!X19)/Datos!X19," - ")</f>
        <v>-0.18656716417910449</v>
      </c>
      <c r="H19" s="854">
        <f>IF(ISNUMBER(((NºAsuntos!G19/NºAsuntos!E19)-Datos!BD19)/Datos!BD19),((NºAsuntos!G19/NºAsuntos!E19)-Datos!BD19)/Datos!BD19," - ")</f>
        <v>-4.1813398097551115E-2</v>
      </c>
      <c r="I19" s="854">
        <f>IF(ISNUMBER(((NºAsuntos!I19/NºAsuntos!G19)-Datos!BE19)/Datos!BE19),((NºAsuntos!I19/NºAsuntos!G19)-Datos!BE19)/Datos!BE19," - ")</f>
        <v>0.36189804725889829</v>
      </c>
      <c r="J19" s="854">
        <f>IF(ISNUMBER((('Resol  Asuntos'!D19/NºAsuntos!G19)-Datos!BF19)/Datos!BF19),(('Resol  Asuntos'!D19/NºAsuntos!G19)-Datos!BF19)/Datos!BF19," - ")</f>
        <v>0.35187303402916792</v>
      </c>
      <c r="K19" s="854">
        <f>IF(ISNUMBER((((NºAsuntos!C19+NºAsuntos!E19)/NºAsuntos!G19)-Datos!BG19)/Datos!BG19),(((NºAsuntos!C19+NºAsuntos!E19)/NºAsuntos!G19)-Datos!BG19)/Datos!BG19," - ")</f>
        <v>0.18289732997017996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-9.9236641221374045E-2</v>
      </c>
      <c r="C20" s="799">
        <f>IF(ISNUMBER(
   IF(J_V="SI",(Datos!J20-Datos!T20)/Datos!T20,(Datos!J20+Datos!Z20-(Datos!T20+Datos!AH20))/(Datos!T20+Datos!AH20))
     ),IF(J_V="SI",(Datos!J20-Datos!T20)/Datos!T20,(Datos!J20+Datos!Z20-(Datos!T20+Datos!AH20))/(Datos!T20+Datos!AH20))," - ")</f>
        <v>-0.42699724517906334</v>
      </c>
      <c r="D20" s="799">
        <f>IF(ISNUMBER(
   IF(J_V="SI",(Datos!K20-Datos!U20)/Datos!U20,(Datos!K20+Datos!AA20-(Datos!U20+Datos!AI20))/(Datos!U20+Datos!AI20))
     ),IF(J_V="SI",(Datos!K20-Datos!U20)/Datos!U20,(Datos!K20+Datos!AA20-(Datos!U20+Datos!AI20))/(Datos!U20+Datos!AI20))," - ")</f>
        <v>-0.42531120331950206</v>
      </c>
      <c r="E20" s="799">
        <f>IF(ISNUMBER(
   IF(J_V="SI",(Datos!L20-Datos!V20)/Datos!V20,(Datos!L20+Datos!AB20-(Datos!V20+Datos!AJ20))/(Datos!V20+Datos!AJ20))
     ),IF(J_V="SI",(Datos!L20-Datos!V20)/Datos!V20,(Datos!L20+Datos!AB20-(Datos!V20+Datos!AJ20))/(Datos!V20+Datos!AJ20))," - ")</f>
        <v>-0.12807463952502121</v>
      </c>
      <c r="F20" s="800">
        <f>IF(ISNUMBER((Datos!M20-Datos!W20)/Datos!W20),(Datos!M20-Datos!W20)/Datos!W20," - ")</f>
        <v>-0.13725490196078433</v>
      </c>
      <c r="G20" s="801">
        <f>IF(ISNUMBER((Datos!N20-Datos!X20)/Datos!X20),(Datos!N20-Datos!X20)/Datos!X20," - ")</f>
        <v>-0.44720496894409939</v>
      </c>
      <c r="H20" s="802">
        <f>IF(ISNUMBER((Tasas!B20-Datos!BD20)/Datos!BD20),(Tasas!B20-Datos!BD20)/Datos!BD20," - ")</f>
        <v>2.9424672837535535E-3</v>
      </c>
      <c r="I20" s="803">
        <f>IF(ISNUMBER((Tasas!C20-Datos!BE20)/Datos!BE20),(Tasas!C20-Datos!BE20)/Datos!BE20," - ")</f>
        <v>0.51721308212613626</v>
      </c>
      <c r="J20" s="804">
        <f>IF(ISNUMBER((Tasas!D20-Datos!BF20)/Datos!BF20),(Tasas!D20-Datos!BF20)/Datos!BF20," - ")</f>
        <v>-4.2960288808664274E-2</v>
      </c>
      <c r="K20" s="804">
        <f>IF(ISNUMBER((Tasas!E20-Datos!BG20)/Datos!BG20),(Tasas!E20-Datos!BG20)/Datos!BG20," - ")</f>
        <v>0.27675863968010744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OGA0901EEInqzOJ62LyezSbd4OgDUd1lVp2iX95DhS5Ld8W9LJjhCBPJ7BkcyOCkJ8vz8fbn6BZf8ZfZCIW3g==" saltValue="JM+PLEmltFizHkQ2dVzzu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CORIA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0.74803149606299213</v>
      </c>
      <c r="C12" s="442">
        <f>IF(ISNUMBER(NºAsuntos!I12/NºAsuntos!G12),NºAsuntos!I12/NºAsuntos!G12," - ")</f>
        <v>2.1403508771929824</v>
      </c>
      <c r="D12" s="443">
        <f>IF(ISNUMBER('Resol  Asuntos'!D12/NºAsuntos!G12),'Resol  Asuntos'!D12/NºAsuntos!G12," - ")</f>
        <v>0.24561403508771928</v>
      </c>
      <c r="E12" s="444">
        <f>IF(ISNUMBER((NºAsuntos!C12+NºAsuntos!E12)/NºAsuntos!G12),(NºAsuntos!C12+NºAsuntos!E12)/NºAsuntos!G12," - ")</f>
        <v>3.1333333333333333</v>
      </c>
      <c r="G12" s="462"/>
    </row>
    <row r="13" spans="1:7" ht="14.25" thickTop="1" thickBot="1">
      <c r="A13" s="845" t="str">
        <f>Datos!A13</f>
        <v>TOTAL</v>
      </c>
      <c r="B13" s="855">
        <f>IF(ISNUMBER(NºAsuntos!G13/NºAsuntos!E13),NºAsuntos!G13/NºAsuntos!E13," - ")</f>
        <v>0.74803149606299213</v>
      </c>
      <c r="C13" s="856">
        <f>IF(ISNUMBER(NºAsuntos!I13/NºAsuntos!G13),NºAsuntos!I13/NºAsuntos!G13," - ")</f>
        <v>2.1403508771929824</v>
      </c>
      <c r="D13" s="857">
        <f>IF(ISNUMBER('Resol  Asuntos'!D13/NºAsuntos!G13),'Resol  Asuntos'!D13/NºAsuntos!G13," - ")</f>
        <v>0.24561403508771928</v>
      </c>
      <c r="E13" s="858">
        <f>IF(ISNUMBER((NºAsuntos!C13+NºAsuntos!E13)/NºAsuntos!G13),(NºAsuntos!C13+NºAsuntos!E13)/NºAsuntos!G13," - ")</f>
        <v>3.1333333333333333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1.1069958847736625</v>
      </c>
      <c r="C17" s="442">
        <f>IF(ISNUMBER(NºAsuntos!I17/NºAsuntos!G17),NºAsuntos!I17/NºAsuntos!G17," - ")</f>
        <v>1.553903345724907</v>
      </c>
      <c r="D17" s="443">
        <f>IF(ISNUMBER('Resol  Asuntos'!D17/NºAsuntos!G17),'Resol  Asuntos'!D17/NºAsuntos!G17," - ")</f>
        <v>0.23048327137546468</v>
      </c>
      <c r="E17" s="444">
        <f>IF(ISNUMBER((NºAsuntos!C17+NºAsuntos!E17)/NºAsuntos!G17),(NºAsuntos!C17+NºAsuntos!E17)/NºAsuntos!G17," - ")</f>
        <v>2.509293680297398</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1.1069958847736625</v>
      </c>
      <c r="C19" s="856">
        <f>IF(ISNUMBER(NºAsuntos!I19/NºAsuntos!G19),NºAsuntos!I19/NºAsuntos!G19," - ")</f>
        <v>1.553903345724907</v>
      </c>
      <c r="D19" s="859">
        <f>IF(ISNUMBER('Resol  Asuntos'!D19/NºAsuntos!G19),'Resol  Asuntos'!D19/NºAsuntos!G19," - ")</f>
        <v>0.23048327137546468</v>
      </c>
      <c r="E19" s="858">
        <f>IF(ISNUMBER((NºAsuntos!C19+NºAsuntos!E19)/NºAsuntos!G19),(NºAsuntos!C19+NºAsuntos!E19)/NºAsuntos!G19," - ")</f>
        <v>2.509293680297398</v>
      </c>
      <c r="G19" s="462"/>
    </row>
    <row r="20" spans="1:7" ht="15.75" customHeight="1" thickTop="1" thickBot="1">
      <c r="A20" s="790" t="str">
        <f>Datos!A20</f>
        <v>TOTAL JURISDICCIONES</v>
      </c>
      <c r="B20" s="805">
        <f>IF(ISNUMBER(NºAsuntos!G20/NºAsuntos!E20),NºAsuntos!G20/NºAsuntos!E20," - ")</f>
        <v>0.88782051282051277</v>
      </c>
      <c r="C20" s="806">
        <f>IF(ISNUMBER(NºAsuntos!I20/NºAsuntos!G20),NºAsuntos!I20/NºAsuntos!G20," - ")</f>
        <v>1.855595667870036</v>
      </c>
      <c r="D20" s="807">
        <f>IF(ISNUMBER('Resol  Asuntos'!D20/NºAsuntos!G20),'Resol  Asuntos'!D20/NºAsuntos!G20," - ")</f>
        <v>0.23826714801444043</v>
      </c>
      <c r="E20" s="808">
        <f>IF(ISNUMBER((NºAsuntos!C20+NºAsuntos!E20)/NºAsuntos!G20),(NºAsuntos!C20+NºAsuntos!E20)/NºAsuntos!G20," - ")</f>
        <v>2.8303249097472922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O1iT7DrU2aMCb+sRCVOI4X4UiSSYQuWAP1ANv7677iE+j1MUNWv3Z12vTSnHohzIfgG+T5Aa3Z3sLjl1St8XA==" saltValue="IJTOujcFcXhs9ek4ZfKK5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CORIA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143</v>
      </c>
      <c r="Y12" s="333">
        <f t="shared" si="0"/>
        <v>143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70</v>
      </c>
      <c r="AJ12" s="228" t="str">
        <f>IF(ISNUMBER(Datos!BW12),Datos!BW12," - ")</f>
        <v xml:space="preserve"> - </v>
      </c>
      <c r="AK12" s="227" t="str">
        <f>IF(ISNUMBER(Datos!BX12),Datos!BX12," - ")</f>
        <v xml:space="preserve"> - </v>
      </c>
      <c r="AL12" s="242">
        <f>IF(ISNUMBER(NºAsuntos!G12/NºAsuntos!E12),NºAsuntos!G12/NºAsuntos!E12," - ")</f>
        <v>0.74803149606299213</v>
      </c>
      <c r="AM12" s="259">
        <f>IF(ISNUMBER(((NºAsuntos!I12/NºAsuntos!G12)*11)/factor_trimestre),((NºAsuntos!I12/NºAsuntos!G12)*11)/factor_trimestre," - ")</f>
        <v>6.4210526315789478</v>
      </c>
      <c r="AN12" s="243">
        <f>IF(ISNUMBER('Resol  Asuntos'!D12/NºAsuntos!G12),'Resol  Asuntos'!D12/NºAsuntos!G12," - ")</f>
        <v>0.24561403508771928</v>
      </c>
      <c r="AO12" s="244">
        <f>IF(ISNUMBER((NºAsuntos!C12+NºAsuntos!E12)/NºAsuntos!G12),(NºAsuntos!C12+NºAsuntos!E12)/NºAsuntos!G12," - ")</f>
        <v>3.1333333333333333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110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143</v>
      </c>
      <c r="Y13" s="865">
        <f t="shared" si="4"/>
        <v>143</v>
      </c>
      <c r="Z13" s="865">
        <f t="shared" si="4"/>
        <v>0</v>
      </c>
      <c r="AA13" s="865">
        <f t="shared" si="4"/>
        <v>0</v>
      </c>
      <c r="AB13" s="865">
        <f t="shared" si="4"/>
        <v>1645</v>
      </c>
      <c r="AC13" s="865">
        <f t="shared" si="4"/>
        <v>0</v>
      </c>
      <c r="AD13" s="865">
        <f t="shared" si="4"/>
        <v>0</v>
      </c>
      <c r="AE13" s="869">
        <f t="shared" si="4"/>
        <v>0</v>
      </c>
      <c r="AF13" s="862">
        <f t="shared" si="4"/>
        <v>0</v>
      </c>
      <c r="AG13" s="870">
        <f t="shared" si="4"/>
        <v>0</v>
      </c>
      <c r="AH13" s="867">
        <f t="shared" si="4"/>
        <v>0</v>
      </c>
      <c r="AI13" s="862">
        <f t="shared" si="4"/>
        <v>70</v>
      </c>
      <c r="AJ13" s="864">
        <f t="shared" si="4"/>
        <v>0</v>
      </c>
      <c r="AK13" s="867">
        <f>SUBTOTAL(9,AK9:AK12)</f>
        <v>0</v>
      </c>
      <c r="AL13" s="871">
        <f>IF(ISNUMBER(NºAsuntos!G13/NºAsuntos!E13),NºAsuntos!G13/NºAsuntos!E13," - ")</f>
        <v>0.74803149606299213</v>
      </c>
      <c r="AM13" s="871">
        <f>IF(ISNUMBER(((NºAsuntos!I13/NºAsuntos!G13)*11)/factor_trimestre),((NºAsuntos!I13/NºAsuntos!G13)*11)/factor_trimestre," - ")</f>
        <v>6.4210526315789478</v>
      </c>
      <c r="AN13" s="872">
        <f>IF(ISNUMBER('Resol  Asuntos'!D13/NºAsuntos!G13),'Resol  Asuntos'!D13/NºAsuntos!G13," - ")</f>
        <v>0.24561403508771928</v>
      </c>
      <c r="AO13" s="873">
        <f>IF(ISNUMBER((NºAsuntos!C13+NºAsuntos!E13)/NºAsuntos!G13),(NºAsuntos!C13+NºAsuntos!E13)/NºAsuntos!G13," - ")</f>
        <v>3.1333333333333333</v>
      </c>
      <c r="AP13" s="874" t="str">
        <f t="shared" si="2"/>
        <v xml:space="preserve"> - </v>
      </c>
      <c r="AQ13" s="874" t="str">
        <f>IF(ISNUMBER((H13-W13+K13)/(F13)),(H13-W13+K13)/(F13)," - ")</f>
        <v xml:space="preserve"> - </v>
      </c>
      <c r="AR13" s="875">
        <f>IF(ISNUMBER((Datos!P13-Datos!Q13)/(Datos!R13-Datos!P13+Datos!Q13)),(Datos!P13-Datos!Q13)/(Datos!R13-Datos!P13+Datos!Q13)," - ")</f>
        <v>-1.9666269368295589E-2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444</v>
      </c>
      <c r="G17" s="332">
        <f>IF(ISNUMBER(IF(D_I="SI",Datos!I17,Datos!I17+Datos!AC17)),IF(D_I="SI",Datos!I17,Datos!I17+Datos!AC17)," - ")</f>
        <v>432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269</v>
      </c>
      <c r="X17" s="225">
        <f>IF(ISNUMBER(Datos!Q17),Datos!Q17," - ")</f>
        <v>23</v>
      </c>
      <c r="Y17" s="333">
        <f t="shared" ref="Y17:Y18" si="9">SUM(W17:X17)</f>
        <v>292</v>
      </c>
      <c r="Z17" s="334" t="str">
        <f>IF(ISNUMBER(Datos!CC17),Datos!CC17," - ")</f>
        <v xml:space="preserve"> - </v>
      </c>
      <c r="AA17" s="331">
        <f>IF(ISNUMBER(IF(D_I="SI",Datos!L17,Datos!L17+Datos!AF17)),IF(D_I="SI",Datos!L17,Datos!L17+Datos!AF17)," - ")</f>
        <v>418</v>
      </c>
      <c r="AB17" s="333">
        <f>IF(ISNUMBER(Datos!R17),Datos!R17," - ")</f>
        <v>62</v>
      </c>
      <c r="AC17" s="333">
        <f t="shared" si="6"/>
        <v>480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62</v>
      </c>
      <c r="AJ17" s="230" t="str">
        <f>IF(ISNUMBER(Datos!BW17),Datos!BW17," - ")</f>
        <v xml:space="preserve"> - </v>
      </c>
      <c r="AK17" s="231" t="str">
        <f>IF(ISNUMBER(Datos!BX17),Datos!BX17," - ")</f>
        <v xml:space="preserve"> - </v>
      </c>
      <c r="AL17" s="242">
        <f>IF(ISNUMBER(NºAsuntos!G17/NºAsuntos!E17),NºAsuntos!G17/NºAsuntos!E17," - ")</f>
        <v>1.1069958847736625</v>
      </c>
      <c r="AM17" s="259">
        <f>IF(ISNUMBER(((NºAsuntos!I17/NºAsuntos!G17)*11)/factor_trimestre),((NºAsuntos!I17/NºAsuntos!G17)*11)/factor_trimestre," - ")</f>
        <v>4.6617100371747213</v>
      </c>
      <c r="AN17" s="243">
        <f>IF(ISNUMBER('Resol  Asuntos'!D17/NºAsuntos!G17),'Resol  Asuntos'!D17/NºAsuntos!G17," - ")</f>
        <v>0.23048327137546468</v>
      </c>
      <c r="AO17" s="244">
        <f>IF(ISNUMBER((NºAsuntos!C17+NºAsuntos!E17)/NºAsuntos!G17),(NºAsuntos!C17+NºAsuntos!E17)/NºAsuntos!G17," - ")</f>
        <v>2.509293680297398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0</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444</v>
      </c>
      <c r="G19" s="863">
        <f>SUBTOTAL(9,G15:G18)</f>
        <v>432</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269</v>
      </c>
      <c r="X19" s="864">
        <f t="shared" si="13"/>
        <v>23</v>
      </c>
      <c r="Y19" s="865">
        <f t="shared" si="13"/>
        <v>292</v>
      </c>
      <c r="Z19" s="865">
        <f t="shared" si="13"/>
        <v>0</v>
      </c>
      <c r="AA19" s="865">
        <f t="shared" si="13"/>
        <v>418</v>
      </c>
      <c r="AB19" s="865">
        <f t="shared" si="13"/>
        <v>62</v>
      </c>
      <c r="AC19" s="865">
        <f t="shared" si="13"/>
        <v>480</v>
      </c>
      <c r="AD19" s="865">
        <f t="shared" si="13"/>
        <v>0</v>
      </c>
      <c r="AE19" s="869">
        <f t="shared" si="13"/>
        <v>0</v>
      </c>
      <c r="AF19" s="862">
        <f t="shared" si="13"/>
        <v>0</v>
      </c>
      <c r="AG19" s="870">
        <f t="shared" si="13"/>
        <v>0</v>
      </c>
      <c r="AH19" s="867">
        <f t="shared" si="13"/>
        <v>0</v>
      </c>
      <c r="AI19" s="862">
        <f t="shared" si="13"/>
        <v>62</v>
      </c>
      <c r="AJ19" s="864">
        <f t="shared" si="13"/>
        <v>0</v>
      </c>
      <c r="AK19" s="867">
        <f t="shared" si="13"/>
        <v>0</v>
      </c>
      <c r="AL19" s="871">
        <f>IF(ISNUMBER(NºAsuntos!G19/NºAsuntos!E19),NºAsuntos!G19/NºAsuntos!E19," - ")</f>
        <v>1.1069958847736625</v>
      </c>
      <c r="AM19" s="871">
        <f>IF(ISNUMBER(((NºAsuntos!I19/NºAsuntos!G19)*11)/factor_trimestre),((NºAsuntos!I19/NºAsuntos!G19)*11)/factor_trimestre," - ")</f>
        <v>4.6617100371747213</v>
      </c>
      <c r="AN19" s="872">
        <f>IF(ISNUMBER('Resol  Asuntos'!D19/NºAsuntos!G19),'Resol  Asuntos'!D19/NºAsuntos!G19," - ")</f>
        <v>0.23048327137546468</v>
      </c>
      <c r="AO19" s="873">
        <f>IF(ISNUMBER((NºAsuntos!C19+NºAsuntos!E19)/NºAsuntos!G19),(NºAsuntos!C19+NºAsuntos!E19)/NºAsuntos!G19," - ")</f>
        <v>2.509293680297398</v>
      </c>
      <c r="AP19" s="874" t="str">
        <f t="shared" si="2"/>
        <v xml:space="preserve"> - </v>
      </c>
      <c r="AQ19" s="874">
        <f>IF(ISNUMBER((H19-W19+K19)/(F19)),(H19-W19+K19)/(F19)," - ")</f>
        <v>-0.60585585585585588</v>
      </c>
      <c r="AR19" s="875">
        <f>IF(ISNUMBER((Datos!P19-Datos!Q19)/(Datos!R19-Datos!P19+Datos!Q19)),(Datos!P19-Datos!Q19)/(Datos!R19-Datos!P19+Datos!Q19)," - ")</f>
        <v>-0.15068493150684931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444</v>
      </c>
      <c r="G20" s="818">
        <f t="shared" si="15"/>
        <v>432</v>
      </c>
      <c r="H20" s="817">
        <f t="shared" si="15"/>
        <v>0</v>
      </c>
      <c r="I20" s="819">
        <f t="shared" si="15"/>
        <v>0</v>
      </c>
      <c r="J20" s="819">
        <f t="shared" si="15"/>
        <v>0</v>
      </c>
      <c r="K20" s="878">
        <f t="shared" si="15"/>
        <v>0</v>
      </c>
      <c r="L20" s="819">
        <f t="shared" si="15"/>
        <v>122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269</v>
      </c>
      <c r="X20" s="818">
        <f t="shared" si="16"/>
        <v>166</v>
      </c>
      <c r="Y20" s="825">
        <f t="shared" si="16"/>
        <v>435</v>
      </c>
      <c r="Z20" s="825">
        <f t="shared" si="16"/>
        <v>0</v>
      </c>
      <c r="AA20" s="825">
        <f t="shared" si="16"/>
        <v>418</v>
      </c>
      <c r="AB20" s="825">
        <f t="shared" si="16"/>
        <v>1707</v>
      </c>
      <c r="AC20" s="825">
        <f t="shared" si="16"/>
        <v>480</v>
      </c>
      <c r="AD20" s="825">
        <f t="shared" si="16"/>
        <v>0</v>
      </c>
      <c r="AE20" s="827">
        <f t="shared" si="16"/>
        <v>0</v>
      </c>
      <c r="AF20" s="828">
        <f t="shared" si="16"/>
        <v>0</v>
      </c>
      <c r="AG20" s="829">
        <f t="shared" si="16"/>
        <v>0</v>
      </c>
      <c r="AH20" s="827">
        <f t="shared" si="16"/>
        <v>0</v>
      </c>
      <c r="AI20" s="817">
        <f t="shared" si="16"/>
        <v>132</v>
      </c>
      <c r="AJ20" s="817">
        <f t="shared" si="16"/>
        <v>0</v>
      </c>
      <c r="AK20" s="827">
        <f t="shared" si="16"/>
        <v>0</v>
      </c>
      <c r="AL20" s="881">
        <f>IF(ISNUMBER(NºAsuntos!G20/NºAsuntos!E20),NºAsuntos!G20/NºAsuntos!E20," - ")</f>
        <v>0.88782051282051277</v>
      </c>
      <c r="AM20" s="882">
        <f>IF(ISNUMBER(((NºAsuntos!I20/NºAsuntos!G20)*11)/factor_trimestre),((NºAsuntos!I20/NºAsuntos!G20)*11)/factor_trimestre," - ")</f>
        <v>5.5667870036101084</v>
      </c>
      <c r="AN20" s="882">
        <f>IF(ISNUMBER('Resol  Asuntos'!D20/NºAsuntos!G20),'Resol  Asuntos'!D20/NºAsuntos!G20," - ")</f>
        <v>0.23826714801444043</v>
      </c>
      <c r="AO20" s="883">
        <f>IF(ISNUMBER((NºAsuntos!C20+NºAsuntos!E20)/NºAsuntos!G20),(NºAsuntos!C20+NºAsuntos!E20)/NºAsuntos!G20," - ")</f>
        <v>2.8303249097472922</v>
      </c>
      <c r="AP20" s="884" t="str">
        <f t="shared" si="2"/>
        <v xml:space="preserve"> - </v>
      </c>
      <c r="AQ20" s="885">
        <f>IF(OR(ISNUMBER(FIND("01",Criterios!A8,1)),ISNUMBER(FIND("02",Criterios!A8,1)),ISNUMBER(FIND("03",Criterios!A8,1)),ISNUMBER(FIND("04",Criterios!A8,1))),(I20-W20+K20)/(F20-K20),(H20-W20+K20)/(F20-K20))</f>
        <v>-0.60585585585585588</v>
      </c>
      <c r="AR20" s="886">
        <f>IF(ISNUMBER((Datos!P20-Datos!Q20)/(Datos!R20-Datos!P20+Datos!Q20)),(Datos!P20-Datos!Q20)/(Datos!R20-Datos!P20+Datos!Q20)," - ")</f>
        <v>-2.5128498001142203E-2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256.34351952019387</v>
      </c>
      <c r="G22" s="252">
        <f>IF(ISNUMBER(STDEV(G8:G19)),STDEV(G8:G19),"-")</f>
        <v>236.61614484223176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147.33736796888968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34.26951998496623</v>
      </c>
      <c r="AJ22" s="251">
        <f t="shared" si="20"/>
        <v>0</v>
      </c>
      <c r="AK22" s="253">
        <f t="shared" si="20"/>
        <v>0</v>
      </c>
      <c r="AL22" s="248">
        <f t="shared" si="20"/>
        <v>0.20724818645159421</v>
      </c>
      <c r="AM22" s="249">
        <f t="shared" si="20"/>
        <v>1.0157569204760519</v>
      </c>
      <c r="AN22" s="249">
        <f t="shared" si="20"/>
        <v>8.7357505023148187E-3</v>
      </c>
      <c r="AO22" s="250">
        <f t="shared" si="20"/>
        <v>0.36028946166529863</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69EAGHOUh0dO+udHie4Bt/AzsxQZGAOOdCYn7m/UjMIWlxD61JH0SLF8shfJorw05QqgtpfZLjJCdbacKMTxg==" saltValue="MoCPHASCmhYNbL0/Pp4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CORIA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-0.30693069306930693</v>
      </c>
      <c r="I12" s="349">
        <f>IF(ISNUMBER((Tasas!C12-Datos!BE12)/Datos!BE12),(Tasas!C12-Datos!BE12)/Datos!BE12," - ")</f>
        <v>0.69734203137205231</v>
      </c>
      <c r="J12" s="348">
        <f>IF(ISNUMBER((Tasas!D12-Datos!BF12)/Datos!BF12),(Tasas!D12-Datos!BF12)/Datos!BF12," - ")</f>
        <v>-0.13904441955953722</v>
      </c>
      <c r="K12" s="350">
        <f>IF(ISNUMBER((Tasas!E12-Datos!BG12)/Datos!BG12),(Tasas!E12-Datos!BG12)/Datos!BG12," - ")</f>
        <v>0.38581655480984328</v>
      </c>
      <c r="M12" t="e">
        <f>IF(Monitorios="SI",Datos!CE12,0)</f>
        <v>#REF!</v>
      </c>
      <c r="N12" t="e">
        <f>IF(Monitorios="SI",Datos!CF12,0)</f>
        <v>#REF!</v>
      </c>
      <c r="O12" t="e">
        <f>IF(Monitorios="SI",Datos!CG12,0)</f>
        <v>#REF!</v>
      </c>
      <c r="P12" t="e">
        <f>IF(Monitorios="SI",Datos!CH12,0)</f>
        <v>#REF!</v>
      </c>
      <c r="Q12">
        <f>IF(J_V="SI",0,Datos!AG12)</f>
        <v>22</v>
      </c>
      <c r="R12">
        <f>IF(J_V="SI",0,Datos!AH12)</f>
        <v>31</v>
      </c>
      <c r="S12">
        <f>IF(J_V="SI",0,Datos!AI12)</f>
        <v>36</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-0.30693069306930693</v>
      </c>
      <c r="I13" s="356">
        <f>IF(ISNUMBER((Tasas!C13-Datos!BE13)/Datos!BE13),(Tasas!C13-Datos!BE13)/Datos!BE13," - ")</f>
        <v>0.69734203137205231</v>
      </c>
      <c r="J13" s="354">
        <f>IF(ISNUMBER((Tasas!D13-Datos!BF13)/Datos!BF13),(Tasas!D13-Datos!BF13)/Datos!BF13," - ")</f>
        <v>-0.13904441955953722</v>
      </c>
      <c r="K13" s="357">
        <f>IF(ISNUMBER((Tasas!E13-Datos!BG13)/Datos!BG13),(Tasas!E13-Datos!BG13)/Datos!BG13," - ")</f>
        <v>0.38581655480984328</v>
      </c>
      <c r="M13" t="e">
        <f>IF(Monitorios="SI",Datos!CE13,0)</f>
        <v>#REF!</v>
      </c>
      <c r="N13" t="e">
        <f>IF(Monitorios="SI",Datos!CF13,0)</f>
        <v>#REF!</v>
      </c>
      <c r="O13" t="e">
        <f>IF(Monitorios="SI",Datos!CG13,0)</f>
        <v>#REF!</v>
      </c>
      <c r="P13" t="e">
        <f>IF(Monitorios="SI",Datos!CH13,0)</f>
        <v>#REF!</v>
      </c>
      <c r="Q13">
        <f>IF(J_V="SI",0,Datos!AG13)</f>
        <v>22</v>
      </c>
      <c r="R13">
        <f>IF(J_V="SI",0,Datos!AH13)</f>
        <v>31</v>
      </c>
      <c r="S13">
        <f>IF(J_V="SI",0,Datos!AI13)</f>
        <v>36</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0.12793733681462141</v>
      </c>
      <c r="E17" s="347">
        <f>IF(ISNUMBER(
   IF(D_I="SI",(Datos!J17-Datos!T17)/Datos!T17,(Datos!J17+Datos!AD17-(Datos!T17+Datos!AL17))/(Datos!T17+Datos!AL17))
     ),IF(D_I="SI",(Datos!J17-Datos!T17)/Datos!T17,(Datos!J17+Datos!AD17-(Datos!T17+Datos!AL17))/(Datos!T17+Datos!AL17))," - ")</f>
        <v>-7.9545454545454544E-2</v>
      </c>
      <c r="F17" s="347">
        <f>IF(ISNUMBER(
   IF(D_I="SI",(Datos!K17-Datos!U17)/Datos!U17,(Datos!K17+Datos!AE17-(Datos!U17+Datos!AM17))/(Datos!U17+Datos!AM17))
     ),IF(D_I="SI",(Datos!K17-Datos!U17)/Datos!U17,(Datos!K17+Datos!AE17-(Datos!U17+Datos!AM17))/(Datos!U17+Datos!AM17))," - ")</f>
        <v>-0.11803278688524591</v>
      </c>
      <c r="G17" s="348">
        <f>IF(ISNUMBER(
   IF(D_I="SI",(Datos!L17-Datos!V17)/Datos!V17,(Datos!L17+Datos!AF17-(Datos!V17+Datos!AN17))/(Datos!V17+Datos!AN17))
     ),IF(D_I="SI",(Datos!L17-Datos!V17)/Datos!V17,(Datos!L17+Datos!AF17-(Datos!V17+Datos!AN17))/(Datos!V17+Datos!AN17))," - ")</f>
        <v>0.20114942528735633</v>
      </c>
      <c r="H17" s="229">
        <f>IF(ISNUMBER((Datos!M17-Datos!W17)/Datos!W17),(Datos!M17-Datos!W17)/Datos!W17," - ")</f>
        <v>0.19230769230769232</v>
      </c>
      <c r="I17" s="349">
        <f>IF(ISNUMBER((Tasas!C17-Datos!BE17)/Datos!BE17),(Tasas!C17-Datos!BE17)/Datos!BE17," - ")</f>
        <v>0.36189804725889829</v>
      </c>
      <c r="J17" s="348">
        <f>IF(ISNUMBER((Tasas!D17-Datos!BF17)/Datos!BF17),(Tasas!D17-Datos!BF17)/Datos!BF17," - ")</f>
        <v>0.35187303402916792</v>
      </c>
      <c r="K17" s="350">
        <f>IF(ISNUMBER((Tasas!E17-Datos!BG17)/Datos!BG17),(Tasas!E17-Datos!BG17)/Datos!BG17," - ")</f>
        <v>0.18289732997017996</v>
      </c>
    </row>
    <row r="18" spans="2:20" ht="15" thickBot="1">
      <c r="B18" s="274" t="s">
        <v>397</v>
      </c>
      <c r="C18" s="7" t="str">
        <f>Datos!A18</f>
        <v>Sección De Violencia sobre la Mujer del TI</v>
      </c>
      <c r="D18" s="351" t="str">
        <f>IF(ISNUMBER(
   IF(D_I="SI",(Datos!I18-Datos!S18)/Datos!S18,(Datos!I18+Datos!AC18-(Datos!S18+Datos!AK18))/(Datos!S18+Datos!AK18))
     ),IF(D_I="SI",(Datos!I18-Datos!S18)/Datos!S18,(Datos!I18+Datos!AC18-(Datos!S18+Datos!AK18))/(Datos!S18+Datos!AK18))," - ")</f>
        <v xml:space="preserve"> - </v>
      </c>
      <c r="E18" s="347" t="str">
        <f>IF(ISNUMBER(
   IF(D_I="SI",(Datos!J18-Datos!T18)/Datos!T18,(Datos!J18+Datos!AD18-(Datos!T18+Datos!AL18))/(Datos!T18+Datos!AL18))
     ),IF(D_I="SI",(Datos!J18-Datos!T18)/Datos!T18,(Datos!J18+Datos!AD18-(Datos!T18+Datos!AL18))/(Datos!T18+Datos!AL18))," - ")</f>
        <v xml:space="preserve"> - </v>
      </c>
      <c r="F18" s="347" t="str">
        <f>IF(ISNUMBER(
   IF(D_I="SI",(Datos!K18-Datos!U18)/Datos!U18,(Datos!K18+Datos!AE18-(Datos!U18+Datos!AM18))/(Datos!U18+Datos!AM18))
     ),IF(D_I="SI",(Datos!K18-Datos!U18)/Datos!U18,(Datos!K18+Datos!AE18-(Datos!U18+Datos!AM18))/(Datos!U18+Datos!AM18))," - ")</f>
        <v xml:space="preserve"> - </v>
      </c>
      <c r="G18" s="348" t="str">
        <f>IF(ISNUMBER(
   IF(D_I="SI",(Datos!L18-Datos!V18)/Datos!V18,(Datos!L18+Datos!AF18-(Datos!V18+Datos!AN18))/(Datos!V18+Datos!AN18))
     ),IF(D_I="SI",(Datos!L18-Datos!V18)/Datos!V18,(Datos!L18+Datos!AF18-(Datos!V18+Datos!AN18))/(Datos!V18+Datos!AN18))," - ")</f>
        <v xml:space="preserve"> - </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0.12793733681462141</v>
      </c>
      <c r="E19" s="353">
        <f>IF(ISNUMBER(
   IF(D_I="SI",(Datos!J19-Datos!T19)/Datos!T19,(Datos!J19+Datos!AD19-(Datos!T19+Datos!AL19))/(Datos!T19+Datos!AL19))
     ),IF(D_I="SI",(Datos!J19-Datos!T19)/Datos!T19,(Datos!J19+Datos!AD19-(Datos!T19+Datos!AL19))/(Datos!T19+Datos!AL19))," - ")</f>
        <v>-7.9545454545454544E-2</v>
      </c>
      <c r="F19" s="353">
        <f>IF(ISNUMBER(
   IF(D_I="SI",(Datos!K19-Datos!U19)/Datos!U19,(Datos!K19+Datos!AE19-(Datos!U19+Datos!AM19))/(Datos!U19+Datos!AM19))
     ),IF(D_I="SI",(Datos!K19-Datos!U19)/Datos!U19,(Datos!K19+Datos!AE19-(Datos!U19+Datos!AM19))/(Datos!U19+Datos!AM19))," - ")</f>
        <v>-0.11803278688524591</v>
      </c>
      <c r="G19" s="354">
        <f>IF(ISNUMBER(
   IF(D_I="SI",(Datos!L19-Datos!V19)/Datos!V19,(Datos!L19+Datos!AF19-(Datos!V19+Datos!AN19))/(Datos!V19+Datos!AN19))
     ),IF(D_I="SI",(Datos!L19-Datos!V19)/Datos!V19,(Datos!L19+Datos!AF19-(Datos!V19+Datos!AN19))/(Datos!V19+Datos!AN19))," - ")</f>
        <v>0.20114942528735633</v>
      </c>
      <c r="H19" s="355">
        <f>IF(ISNUMBER((Datos!M19-Datos!W19)/Datos!W19),(Datos!M19-Datos!W19)/Datos!W19," - ")</f>
        <v>0.19230769230769232</v>
      </c>
      <c r="I19" s="356">
        <f>IF(ISNUMBER((Tasas!C19-Datos!BE19)/Datos!BE19),(Tasas!C19-Datos!BE19)/Datos!BE19," - ")</f>
        <v>0.36189804725889829</v>
      </c>
      <c r="J19" s="354">
        <f>IF(ISNUMBER((Tasas!D19-Datos!BF19)/Datos!BF19),(Tasas!D19-Datos!BF19)/Datos!BF19," - ")</f>
        <v>0.35187303402916792</v>
      </c>
      <c r="K19" s="357">
        <f>IF(ISNUMBER((Tasas!E19-Datos!BG19)/Datos!BG19),(Tasas!E19-Datos!BG19)/Datos!BG19," - ")</f>
        <v>0.18289732997017996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-9.9236641221374045E-2</v>
      </c>
      <c r="E20" s="362">
        <f>IF(ISNUMBER(
   IF(J_V="SI",(Datos!J20-Datos!T20)/Datos!T20,(Datos!J20+Datos!Z20-(Datos!T20+Datos!AH20))/(Datos!T20+Datos!AH20))
     ),IF(J_V="SI",(Datos!J20-Datos!T20)/Datos!T20,(Datos!J20+Datos!Z20-(Datos!T20+Datos!AH20))/(Datos!T20+Datos!AH20))," - ")</f>
        <v>-0.42699724517906334</v>
      </c>
      <c r="F20" s="362">
        <f>IF(ISNUMBER(
   IF(J_V="SI",(Datos!K20-Datos!U20)/Datos!U20,(Datos!K20+Datos!AA20-(Datos!U20+Datos!AI20))/(Datos!U20+Datos!AI20))
     ),IF(J_V="SI",(Datos!K20-Datos!U20)/Datos!U20,(Datos!K20+Datos!AA20-(Datos!U20+Datos!AI20))/(Datos!U20+Datos!AI20))," - ")</f>
        <v>-0.42531120331950206</v>
      </c>
      <c r="G20" s="363">
        <f>IF(ISNUMBER(
   IF(J_V="SI",(Datos!L20-Datos!V20)/Datos!V20,(Datos!L20+Datos!AB20-(Datos!V20+Datos!AJ20))/(Datos!V20+Datos!AJ20))
     ),IF(J_V="SI",(Datos!L20-Datos!V20)/Datos!V20,(Datos!L20+Datos!AB20-(Datos!V20+Datos!AJ20))/(Datos!V20+Datos!AJ20))," - ")</f>
        <v>-0.12807463952502121</v>
      </c>
      <c r="H20" s="364">
        <f>IF(ISNUMBER((Datos!M20-Datos!W20)/Datos!W20),(Datos!M20-Datos!W20)/Datos!W20," - ")</f>
        <v>-0.13725490196078433</v>
      </c>
      <c r="I20" s="361">
        <f>IF(ISNUMBER((Tasas!C20-Datos!BE20)/Datos!BE20),(Tasas!C20-Datos!BE20)/Datos!BE20," - ")</f>
        <v>0.51721308212613626</v>
      </c>
      <c r="J20" s="362">
        <f>IF(ISNUMBER((Tasas!D20-Datos!BF20)/Datos!BF20),(Tasas!D20-Datos!BF20)/Datos!BF20," - ")</f>
        <v>-4.2960288808664274E-2</v>
      </c>
      <c r="K20" s="363">
        <f>IF(ISNUMBER((Tasas!E20-Datos!BG20)/Datos!BG20),(Tasas!E20-Datos!BG20)/Datos!BG20," - ")</f>
        <v>0.27675863968010744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v>
      </c>
      <c r="E22" s="277">
        <f t="shared" si="1"/>
        <v>0</v>
      </c>
      <c r="F22" s="277">
        <f t="shared" si="1"/>
        <v>0</v>
      </c>
      <c r="G22" s="278">
        <f t="shared" si="1"/>
        <v>0</v>
      </c>
      <c r="H22" s="284">
        <f t="shared" si="1"/>
        <v>0.28823541618720461</v>
      </c>
      <c r="I22" s="276">
        <f t="shared" si="1"/>
        <v>0.19366867452577002</v>
      </c>
      <c r="J22" s="277">
        <f t="shared" si="1"/>
        <v>0.28343132397932452</v>
      </c>
      <c r="K22" s="278">
        <f t="shared" si="1"/>
        <v>0.11715546908492976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dIZ9hMuKkMtlaY0pMPQauvjjxK5r3wuL8Nrh/cWSvsEJT/5UhTXO17t669K0MvO1QYBR/jmyWtgZphD1VGo9g==" saltValue="wwOavtnJAMgr/RDrklx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